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A - ADM" sheetId="1" r:id="rId1"/>
    <sheet name="B - JUD" sheetId="2" r:id="rId2"/>
    <sheet name="C - DESEMB" sheetId="3" r:id="rId3"/>
    <sheet name="D - RA 63 E TRT MODERNO" sheetId="4" r:id="rId4"/>
    <sheet name="E - FC CJ EXCEDENTES" sheetId="5" r:id="rId5"/>
    <sheet name="F - LOT MAX SERV FC" sheetId="6" r:id="rId6"/>
    <sheet name="G - DISTRIBUIÇAO EXCEDENTE" sheetId="7" r:id="rId7"/>
    <sheet name="H - REPRESENTATIVIDADE" sheetId="8" r:id="rId8"/>
    <sheet name="I - NOVAS VT" sheetId="9" r:id="rId9"/>
    <sheet name="Plan1" sheetId="10" r:id="rId10"/>
  </sheets>
  <definedNames>
    <definedName name="___xlnm.Print_Area_1">'A - ADM'!$A$1:$T$203</definedName>
    <definedName name="___xlnm.Print_Area_2">'B - JUD'!$A$1:$R$194</definedName>
    <definedName name="___xlnm.Print_Area_3">'C - DESEMB'!$A$1:$K$113</definedName>
    <definedName name="___xlnm.Print_Area_4">'D - RA 63 E TRT MODERNO'!$A$1:$N$95</definedName>
    <definedName name="___xlnm.Print_Area_5">'E - FC CJ EXCEDENTES'!$A$1:$K$100</definedName>
    <definedName name="___xlnm.Print_Area_7">'G - DISTRIBUIÇAO EXCEDENTE'!$A$1:$G$59</definedName>
    <definedName name="___xlnm.Print_Area_8">'H - REPRESENTATIVIDADE'!$A$1:$H$49</definedName>
    <definedName name="___xlnm.Print_Area_9">'I - NOVAS VT'!$A$1:$F$39</definedName>
    <definedName name="__xlnm.Print_Area">'A - ADM'!$A$1:$T$203</definedName>
    <definedName name="__xlnm.Print_Area_1">'B - JUD'!$A$1:$R$190</definedName>
    <definedName name="__xlnm.Print_Area_2">'C - DESEMB'!$A$1:$K$113</definedName>
    <definedName name="__xlnm.Print_Area_2_9">#N/A</definedName>
    <definedName name="__xlnm.Print_Area_3">'D - RA 63 E TRT MODERNO'!$A$1:$M$51</definedName>
    <definedName name="__xlnm.Print_Area_4">"#REF!!$A$1:$M$48"</definedName>
    <definedName name="__xlnm.Print_Area_5">'E - FC CJ EXCEDENTES'!$A$1:$K$62</definedName>
    <definedName name="__xlnm.Print_Area_6">"#REF!!$A$1:$K$61"</definedName>
    <definedName name="__xlnm.Print_Area_7">'G - DISTRIBUIÇAO EXCEDENTE'!$A$1:$G$59</definedName>
    <definedName name="__xlnm.Print_Area_8">"#REF!!$A$1:$G$77"</definedName>
    <definedName name="__xlnm.Print_Area_9">'A - ADM'!$A$1:$T$203</definedName>
    <definedName name="_xlnm.Print_Area" localSheetId="0">'A - ADM'!$A$1:$T$203</definedName>
    <definedName name="_xlnm.Print_Area" localSheetId="1">'B - JUD'!$A$1:$R$194</definedName>
    <definedName name="_xlnm.Print_Area" localSheetId="2">'C - DESEMB'!$A$1:$K$113</definedName>
    <definedName name="_xlnm.Print_Area" localSheetId="3">'D - RA 63 E TRT MODERNO'!$A$1:$N$95</definedName>
    <definedName name="_xlnm.Print_Area" localSheetId="4">'E - FC CJ EXCEDENTES'!$A$1:$K$100</definedName>
    <definedName name="_xlnm.Print_Area" localSheetId="6">'G - DISTRIBUIÇAO EXCEDENTE'!$A$1:$G$59</definedName>
    <definedName name="_xlnm.Print_Area" localSheetId="7">'H - REPRESENTATIVIDADE'!$A$1:$H$49</definedName>
    <definedName name="_xlnm.Print_Area" localSheetId="8">'I - NOVAS VT'!$A$1:$F$39</definedName>
    <definedName name="Print_Area_1">'B - JUD'!$A$1:$R$190</definedName>
    <definedName name="Print_Area_2">'C - DESEMB'!$A$1:$K$105</definedName>
    <definedName name="Print_Area_2_9">#N/A</definedName>
    <definedName name="Print_Area_3">"#REF!!$A$1:$M$51"</definedName>
    <definedName name="Print_Area_3_1">'D - RA 63 E TRT MODERNO'!$A$1:$M$56</definedName>
    <definedName name="Print_Area_4">"#REF!!$A$1:$G$77"</definedName>
    <definedName name="Print_Area_4_1">'G - DISTRIBUIÇAO EXCEDENTE'!$A$1:$G$59</definedName>
    <definedName name="Print_Area_5">"#REF!!$A$1:$K$61"</definedName>
    <definedName name="Print_Area_5_1">'E - FC CJ EXCEDENTES'!$A$1:$K$62</definedName>
    <definedName name="Print_Area_6">'F - LOT MAX SERV FC'!$A$1:$L$40</definedName>
  </definedNames>
  <calcPr calcId="125725" iterateDelta="1E-4"/>
</workbook>
</file>

<file path=xl/calcChain.xml><?xml version="1.0" encoding="utf-8"?>
<calcChain xmlns="http://schemas.openxmlformats.org/spreadsheetml/2006/main">
  <c r="E13" i="1"/>
  <c r="J13"/>
  <c r="O13"/>
  <c r="E14"/>
  <c r="J14"/>
  <c r="O14"/>
  <c r="E15"/>
  <c r="J15"/>
  <c r="O15"/>
  <c r="E18"/>
  <c r="J18"/>
  <c r="O18"/>
  <c r="E19"/>
  <c r="J19"/>
  <c r="O19"/>
  <c r="E20"/>
  <c r="J20"/>
  <c r="O20"/>
  <c r="E21"/>
  <c r="J21"/>
  <c r="O21"/>
  <c r="E24"/>
  <c r="J24"/>
  <c r="O24"/>
  <c r="E25"/>
  <c r="J25"/>
  <c r="O25"/>
  <c r="E26"/>
  <c r="J26"/>
  <c r="O26"/>
  <c r="E27"/>
  <c r="J27"/>
  <c r="O27"/>
  <c r="E28"/>
  <c r="J28"/>
  <c r="O28"/>
  <c r="E31"/>
  <c r="J31"/>
  <c r="O31"/>
  <c r="E32"/>
  <c r="J32"/>
  <c r="O32"/>
  <c r="E33"/>
  <c r="J33"/>
  <c r="O33"/>
  <c r="E34"/>
  <c r="J34"/>
  <c r="O34"/>
  <c r="E37"/>
  <c r="J37"/>
  <c r="O37"/>
  <c r="E38"/>
  <c r="J38"/>
  <c r="O38"/>
  <c r="E39"/>
  <c r="J39"/>
  <c r="O39"/>
  <c r="E42"/>
  <c r="J42"/>
  <c r="O42"/>
  <c r="E43"/>
  <c r="J43"/>
  <c r="O43"/>
  <c r="E44"/>
  <c r="J44"/>
  <c r="O44"/>
  <c r="E45"/>
  <c r="J45"/>
  <c r="O45"/>
  <c r="E48"/>
  <c r="J48"/>
  <c r="O48"/>
  <c r="E49"/>
  <c r="J49"/>
  <c r="O49"/>
  <c r="E50"/>
  <c r="J50"/>
  <c r="O50"/>
  <c r="E53"/>
  <c r="J53"/>
  <c r="O53"/>
  <c r="E55"/>
  <c r="J55"/>
  <c r="E56"/>
  <c r="J56"/>
  <c r="E59"/>
  <c r="J59"/>
  <c r="O59"/>
  <c r="E60"/>
  <c r="J60"/>
  <c r="O60"/>
  <c r="E61"/>
  <c r="J61"/>
  <c r="O61"/>
  <c r="E62"/>
  <c r="J62"/>
  <c r="O62"/>
  <c r="E65"/>
  <c r="J65"/>
  <c r="O65"/>
  <c r="E66"/>
  <c r="J66"/>
  <c r="E69"/>
  <c r="J69"/>
  <c r="O69"/>
  <c r="E70"/>
  <c r="J70"/>
  <c r="O70"/>
  <c r="E71"/>
  <c r="J71"/>
  <c r="O71"/>
  <c r="E72"/>
  <c r="J72"/>
  <c r="O72"/>
  <c r="E73"/>
  <c r="J73"/>
  <c r="O73"/>
  <c r="E76"/>
  <c r="J76"/>
  <c r="O76"/>
  <c r="E77"/>
  <c r="J77"/>
  <c r="O77"/>
  <c r="E78"/>
  <c r="J78"/>
  <c r="O78"/>
  <c r="E79"/>
  <c r="J79"/>
  <c r="O79"/>
  <c r="E82"/>
  <c r="J82"/>
  <c r="O82"/>
  <c r="E83"/>
  <c r="J83"/>
  <c r="O83"/>
  <c r="E84"/>
  <c r="J84"/>
  <c r="O84"/>
  <c r="E85"/>
  <c r="J85"/>
  <c r="O85"/>
  <c r="E88"/>
  <c r="J88"/>
  <c r="O88"/>
  <c r="E89"/>
  <c r="J89"/>
  <c r="O89"/>
  <c r="E90"/>
  <c r="J90"/>
  <c r="O90"/>
  <c r="E93"/>
  <c r="J93"/>
  <c r="O93"/>
  <c r="E94"/>
  <c r="J94"/>
  <c r="E97"/>
  <c r="J97"/>
  <c r="O97"/>
  <c r="E98"/>
  <c r="J98"/>
  <c r="O98"/>
  <c r="E99"/>
  <c r="J99"/>
  <c r="O99"/>
  <c r="E101"/>
  <c r="J101"/>
  <c r="O101"/>
  <c r="E103"/>
  <c r="J103"/>
  <c r="O103"/>
  <c r="E105"/>
  <c r="J105"/>
  <c r="O105"/>
  <c r="E108"/>
  <c r="J108"/>
  <c r="O108"/>
  <c r="E109"/>
  <c r="J109"/>
  <c r="O109"/>
  <c r="E110"/>
  <c r="J110"/>
  <c r="O110"/>
  <c r="E111"/>
  <c r="J111"/>
  <c r="O111"/>
  <c r="E114"/>
  <c r="J114"/>
  <c r="O114"/>
  <c r="E115"/>
  <c r="J115"/>
  <c r="O115"/>
  <c r="E116"/>
  <c r="J116"/>
  <c r="O116"/>
  <c r="E119"/>
  <c r="J119"/>
  <c r="O119"/>
  <c r="E120"/>
  <c r="J120"/>
  <c r="O120"/>
  <c r="E121"/>
  <c r="J121"/>
  <c r="O121"/>
  <c r="E122"/>
  <c r="J122"/>
  <c r="O122"/>
  <c r="E125"/>
  <c r="J125"/>
  <c r="O125"/>
  <c r="E126"/>
  <c r="J126"/>
  <c r="O126"/>
  <c r="E127"/>
  <c r="J127"/>
  <c r="O127"/>
  <c r="E130"/>
  <c r="J130"/>
  <c r="O130"/>
  <c r="E131"/>
  <c r="J131"/>
  <c r="O131"/>
  <c r="E132"/>
  <c r="J132"/>
  <c r="O132"/>
  <c r="E135"/>
  <c r="J135"/>
  <c r="O135"/>
  <c r="E136"/>
  <c r="J136"/>
  <c r="O136"/>
  <c r="E137"/>
  <c r="J137"/>
  <c r="O137"/>
  <c r="E140"/>
  <c r="J140"/>
  <c r="O140"/>
  <c r="E141"/>
  <c r="J141"/>
  <c r="O141"/>
  <c r="E142"/>
  <c r="J142"/>
  <c r="O142"/>
  <c r="E143"/>
  <c r="J143"/>
  <c r="O143"/>
  <c r="E146"/>
  <c r="J146"/>
  <c r="O146"/>
  <c r="E147"/>
  <c r="J147"/>
  <c r="O147"/>
  <c r="E148"/>
  <c r="J148"/>
  <c r="O148"/>
  <c r="E151"/>
  <c r="J151"/>
  <c r="O151"/>
  <c r="E152"/>
  <c r="J152"/>
  <c r="O152"/>
  <c r="E155"/>
  <c r="J155"/>
  <c r="O155"/>
  <c r="E156"/>
  <c r="J156"/>
  <c r="O156"/>
  <c r="E159"/>
  <c r="J159"/>
  <c r="O159"/>
  <c r="E160"/>
  <c r="J160"/>
  <c r="O160"/>
  <c r="E161"/>
  <c r="J161"/>
  <c r="O161"/>
  <c r="E164"/>
  <c r="J164"/>
  <c r="O164"/>
  <c r="E165"/>
  <c r="J165"/>
  <c r="O165"/>
  <c r="E166"/>
  <c r="J166"/>
  <c r="O166"/>
  <c r="E167"/>
  <c r="J167"/>
  <c r="O167"/>
  <c r="E168"/>
  <c r="J168"/>
  <c r="O168"/>
  <c r="E171"/>
  <c r="J171"/>
  <c r="O171"/>
  <c r="E175"/>
  <c r="J175"/>
  <c r="O175"/>
  <c r="E179"/>
  <c r="J179"/>
  <c r="O179"/>
  <c r="E180"/>
  <c r="J180"/>
  <c r="O180"/>
  <c r="E181"/>
  <c r="J181"/>
  <c r="O181"/>
  <c r="E182"/>
  <c r="J182"/>
  <c r="O182"/>
  <c r="E185"/>
  <c r="J185"/>
  <c r="O185"/>
  <c r="E186"/>
  <c r="J186"/>
  <c r="O186"/>
  <c r="E187"/>
  <c r="J187"/>
  <c r="O187"/>
  <c r="E188"/>
  <c r="J188"/>
  <c r="O188"/>
  <c r="E191"/>
  <c r="J191"/>
  <c r="O191"/>
  <c r="E192"/>
  <c r="J192"/>
  <c r="O192"/>
  <c r="E193"/>
  <c r="J193"/>
  <c r="O193"/>
  <c r="C194"/>
  <c r="E194"/>
  <c r="H194"/>
  <c r="J194"/>
  <c r="M194"/>
  <c r="Q197" s="1"/>
  <c r="O194"/>
  <c r="O199" s="1"/>
  <c r="R197"/>
  <c r="R198"/>
  <c r="G200"/>
  <c r="F201"/>
  <c r="V201"/>
  <c r="V203" s="1"/>
  <c r="F202"/>
  <c r="F203" s="1"/>
  <c r="U202"/>
  <c r="H12" i="2"/>
  <c r="J12"/>
  <c r="H13"/>
  <c r="J13"/>
  <c r="H14"/>
  <c r="J14"/>
  <c r="H17"/>
  <c r="J17"/>
  <c r="H20"/>
  <c r="J20"/>
  <c r="H24"/>
  <c r="J24"/>
  <c r="H27"/>
  <c r="J27"/>
  <c r="H28"/>
  <c r="J28"/>
  <c r="H29"/>
  <c r="J29"/>
  <c r="H31"/>
  <c r="J31"/>
  <c r="H34"/>
  <c r="J34"/>
  <c r="H35"/>
  <c r="J35"/>
  <c r="H36"/>
  <c r="J36"/>
  <c r="H39"/>
  <c r="J39"/>
  <c r="H40"/>
  <c r="J40"/>
  <c r="H41"/>
  <c r="J41"/>
  <c r="H42"/>
  <c r="J42"/>
  <c r="H45"/>
  <c r="J45"/>
  <c r="H46"/>
  <c r="J46"/>
  <c r="H47"/>
  <c r="J47"/>
  <c r="H48"/>
  <c r="J48"/>
  <c r="H49"/>
  <c r="J49"/>
  <c r="H52"/>
  <c r="J52"/>
  <c r="H53"/>
  <c r="J53"/>
  <c r="H54"/>
  <c r="J54"/>
  <c r="H57"/>
  <c r="J57"/>
  <c r="H58"/>
  <c r="J58"/>
  <c r="H59"/>
  <c r="J59"/>
  <c r="J62"/>
  <c r="H63"/>
  <c r="J63"/>
  <c r="H64"/>
  <c r="J64"/>
  <c r="H65"/>
  <c r="J65"/>
  <c r="H66"/>
  <c r="J66"/>
  <c r="H69"/>
  <c r="J69"/>
  <c r="H70"/>
  <c r="J70"/>
  <c r="H71"/>
  <c r="J71"/>
  <c r="H72"/>
  <c r="J72"/>
  <c r="H73"/>
  <c r="J73"/>
  <c r="H76"/>
  <c r="J76"/>
  <c r="H77"/>
  <c r="J77"/>
  <c r="H78"/>
  <c r="J78"/>
  <c r="H79"/>
  <c r="J79"/>
  <c r="H80"/>
  <c r="J80"/>
  <c r="H83"/>
  <c r="J83"/>
  <c r="H84"/>
  <c r="J84"/>
  <c r="H85"/>
  <c r="J85"/>
  <c r="H86"/>
  <c r="J86"/>
  <c r="H87"/>
  <c r="J87"/>
  <c r="H90"/>
  <c r="J90"/>
  <c r="H91"/>
  <c r="J91"/>
  <c r="H92"/>
  <c r="J92"/>
  <c r="H93"/>
  <c r="J93"/>
  <c r="H94"/>
  <c r="J94"/>
  <c r="H97"/>
  <c r="J97"/>
  <c r="H98"/>
  <c r="J98"/>
  <c r="H99"/>
  <c r="J99"/>
  <c r="H100"/>
  <c r="J100"/>
  <c r="H101"/>
  <c r="J101"/>
  <c r="H104"/>
  <c r="J104"/>
  <c r="H107"/>
  <c r="J107"/>
  <c r="H108"/>
  <c r="J108"/>
  <c r="H109"/>
  <c r="J109"/>
  <c r="H110"/>
  <c r="J110"/>
  <c r="H113"/>
  <c r="J113"/>
  <c r="H115"/>
  <c r="J115"/>
  <c r="H116"/>
  <c r="J116"/>
  <c r="H117"/>
  <c r="J117"/>
  <c r="H120"/>
  <c r="J120"/>
  <c r="H121"/>
  <c r="J121"/>
  <c r="H122"/>
  <c r="J122"/>
  <c r="H123"/>
  <c r="J123"/>
  <c r="H126"/>
  <c r="J126"/>
  <c r="H127"/>
  <c r="J127"/>
  <c r="H128"/>
  <c r="J128"/>
  <c r="H131"/>
  <c r="J131"/>
  <c r="H132"/>
  <c r="J132"/>
  <c r="H133"/>
  <c r="J133"/>
  <c r="H135"/>
  <c r="J135"/>
  <c r="H136"/>
  <c r="J136"/>
  <c r="H137"/>
  <c r="J137"/>
  <c r="H140"/>
  <c r="J140"/>
  <c r="H141"/>
  <c r="J141"/>
  <c r="H142"/>
  <c r="J142"/>
  <c r="H145"/>
  <c r="J145"/>
  <c r="H148"/>
  <c r="J148"/>
  <c r="H149"/>
  <c r="J149"/>
  <c r="H150"/>
  <c r="J150"/>
  <c r="H151"/>
  <c r="J151"/>
  <c r="H154"/>
  <c r="J154"/>
  <c r="H155"/>
  <c r="J155"/>
  <c r="H156"/>
  <c r="J156"/>
  <c r="H157"/>
  <c r="J157"/>
  <c r="H160"/>
  <c r="J160"/>
  <c r="H163"/>
  <c r="J163"/>
  <c r="H166"/>
  <c r="J166"/>
  <c r="H169"/>
  <c r="J169"/>
  <c r="C170"/>
  <c r="D177" s="1"/>
  <c r="F170"/>
  <c r="H170"/>
  <c r="J170"/>
  <c r="M170"/>
  <c r="D178" s="1"/>
  <c r="D180" s="1"/>
  <c r="D181" s="1"/>
  <c r="P174"/>
  <c r="E177"/>
  <c r="E179" s="1"/>
  <c r="E180" s="1"/>
  <c r="E178"/>
  <c r="P182"/>
  <c r="Q182"/>
  <c r="L190"/>
  <c r="L192"/>
  <c r="L194" s="1"/>
  <c r="D12" i="3"/>
  <c r="I12"/>
  <c r="K12"/>
  <c r="D13"/>
  <c r="I13"/>
  <c r="K13" s="1"/>
  <c r="D14"/>
  <c r="K14" s="1"/>
  <c r="I14"/>
  <c r="D15"/>
  <c r="K15" s="1"/>
  <c r="I15"/>
  <c r="D16"/>
  <c r="I16"/>
  <c r="K16"/>
  <c r="B17"/>
  <c r="G17"/>
  <c r="I17"/>
  <c r="I21" s="1"/>
  <c r="D27"/>
  <c r="K27" s="1"/>
  <c r="I27"/>
  <c r="I34" s="1"/>
  <c r="I38" s="1"/>
  <c r="D28"/>
  <c r="K28" s="1"/>
  <c r="I28"/>
  <c r="D29"/>
  <c r="I29"/>
  <c r="K29" s="1"/>
  <c r="D30"/>
  <c r="I30"/>
  <c r="D31"/>
  <c r="K31" s="1"/>
  <c r="I31"/>
  <c r="D32"/>
  <c r="I32"/>
  <c r="D33"/>
  <c r="K33" s="1"/>
  <c r="I33"/>
  <c r="B34"/>
  <c r="G34"/>
  <c r="D51"/>
  <c r="K51" s="1"/>
  <c r="I51"/>
  <c r="D52"/>
  <c r="I52"/>
  <c r="I58" s="1"/>
  <c r="I62" s="1"/>
  <c r="D53"/>
  <c r="I53"/>
  <c r="K53"/>
  <c r="D54"/>
  <c r="I54"/>
  <c r="D55"/>
  <c r="K55" s="1"/>
  <c r="I55"/>
  <c r="D56"/>
  <c r="I56"/>
  <c r="D57"/>
  <c r="K57" s="1"/>
  <c r="I57"/>
  <c r="B58"/>
  <c r="D58"/>
  <c r="K58" s="1"/>
  <c r="G58"/>
  <c r="D62"/>
  <c r="D68"/>
  <c r="K68" s="1"/>
  <c r="I68"/>
  <c r="I75" s="1"/>
  <c r="I79" s="1"/>
  <c r="D69"/>
  <c r="D75" s="1"/>
  <c r="I69"/>
  <c r="K69"/>
  <c r="D70"/>
  <c r="I70"/>
  <c r="K70" s="1"/>
  <c r="D71"/>
  <c r="I71"/>
  <c r="D72"/>
  <c r="I72"/>
  <c r="K72"/>
  <c r="D73"/>
  <c r="I73"/>
  <c r="D74"/>
  <c r="K74" s="1"/>
  <c r="I74"/>
  <c r="B75"/>
  <c r="G75"/>
  <c r="D85"/>
  <c r="I85"/>
  <c r="K85"/>
  <c r="D86"/>
  <c r="I86"/>
  <c r="K86" s="1"/>
  <c r="D87"/>
  <c r="K87" s="1"/>
  <c r="I87"/>
  <c r="D88"/>
  <c r="I88"/>
  <c r="D89"/>
  <c r="K89" s="1"/>
  <c r="I89"/>
  <c r="D90"/>
  <c r="I90"/>
  <c r="D91"/>
  <c r="I91"/>
  <c r="K91"/>
  <c r="B92"/>
  <c r="G92"/>
  <c r="I92"/>
  <c r="I96" s="1"/>
  <c r="C107"/>
  <c r="D107" s="1"/>
  <c r="C108"/>
  <c r="D108" s="1"/>
  <c r="D109"/>
  <c r="C110"/>
  <c r="D110"/>
  <c r="B111"/>
  <c r="C111"/>
  <c r="D112"/>
  <c r="B113"/>
  <c r="C113"/>
  <c r="D10" i="4"/>
  <c r="D14" s="1"/>
  <c r="D30" s="1"/>
  <c r="G10"/>
  <c r="I10"/>
  <c r="I14" s="1"/>
  <c r="D11"/>
  <c r="K11" s="1"/>
  <c r="G11"/>
  <c r="I11"/>
  <c r="D12"/>
  <c r="K12" s="1"/>
  <c r="G12"/>
  <c r="I12"/>
  <c r="D13"/>
  <c r="K13" s="1"/>
  <c r="G13"/>
  <c r="I13"/>
  <c r="B14"/>
  <c r="G14"/>
  <c r="K17"/>
  <c r="D22"/>
  <c r="K22" s="1"/>
  <c r="G22"/>
  <c r="I22"/>
  <c r="D23"/>
  <c r="K23" s="1"/>
  <c r="G23"/>
  <c r="I23"/>
  <c r="D24"/>
  <c r="K24" s="1"/>
  <c r="G24"/>
  <c r="I24"/>
  <c r="D25"/>
  <c r="K25" s="1"/>
  <c r="G25"/>
  <c r="I25"/>
  <c r="D26"/>
  <c r="I26"/>
  <c r="K26"/>
  <c r="D27"/>
  <c r="G27"/>
  <c r="I27" s="1"/>
  <c r="B28"/>
  <c r="D28"/>
  <c r="B30"/>
  <c r="K31"/>
  <c r="J37"/>
  <c r="F38"/>
  <c r="J38"/>
  <c r="D39"/>
  <c r="F39" s="1"/>
  <c r="E39"/>
  <c r="E43" s="1"/>
  <c r="E45" s="1"/>
  <c r="E47" s="1"/>
  <c r="J39"/>
  <c r="F40"/>
  <c r="J40"/>
  <c r="F41"/>
  <c r="J41"/>
  <c r="D42"/>
  <c r="E42"/>
  <c r="F42" s="1"/>
  <c r="D43"/>
  <c r="D45" s="1"/>
  <c r="D47" s="1"/>
  <c r="E44"/>
  <c r="F44"/>
  <c r="H45"/>
  <c r="L45"/>
  <c r="M45"/>
  <c r="F46"/>
  <c r="H46"/>
  <c r="L46"/>
  <c r="M46"/>
  <c r="M47"/>
  <c r="K48"/>
  <c r="M48"/>
  <c r="M51" s="1"/>
  <c r="D61"/>
  <c r="K61" s="1"/>
  <c r="G61"/>
  <c r="I61"/>
  <c r="I65" s="1"/>
  <c r="D62"/>
  <c r="K62" s="1"/>
  <c r="G62"/>
  <c r="I62"/>
  <c r="D63"/>
  <c r="K63" s="1"/>
  <c r="G63"/>
  <c r="I63"/>
  <c r="D64"/>
  <c r="K64" s="1"/>
  <c r="G64"/>
  <c r="I64"/>
  <c r="B65"/>
  <c r="B77" s="1"/>
  <c r="G65"/>
  <c r="G77" s="1"/>
  <c r="D69"/>
  <c r="G69"/>
  <c r="I69" s="1"/>
  <c r="D70"/>
  <c r="G70"/>
  <c r="I70" s="1"/>
  <c r="K70" s="1"/>
  <c r="D71"/>
  <c r="G71"/>
  <c r="I71" s="1"/>
  <c r="K71" s="1"/>
  <c r="D72"/>
  <c r="G72"/>
  <c r="I72" s="1"/>
  <c r="K72" s="1"/>
  <c r="D73"/>
  <c r="K73" s="1"/>
  <c r="I73"/>
  <c r="D74"/>
  <c r="K74" s="1"/>
  <c r="G74"/>
  <c r="I74"/>
  <c r="B75"/>
  <c r="G75"/>
  <c r="N85"/>
  <c r="K93"/>
  <c r="K20" i="5"/>
  <c r="E27"/>
  <c r="G27"/>
  <c r="I27" s="1"/>
  <c r="E28"/>
  <c r="G28" s="1"/>
  <c r="E29"/>
  <c r="G29"/>
  <c r="I29" s="1"/>
  <c r="E30"/>
  <c r="G30" s="1"/>
  <c r="I30" s="1"/>
  <c r="E31"/>
  <c r="G31"/>
  <c r="I31" s="1"/>
  <c r="E32"/>
  <c r="G32" s="1"/>
  <c r="I32" s="1"/>
  <c r="E33"/>
  <c r="G33"/>
  <c r="I33" s="1"/>
  <c r="E34"/>
  <c r="G34" s="1"/>
  <c r="I34" s="1"/>
  <c r="E35"/>
  <c r="G35"/>
  <c r="I35" s="1"/>
  <c r="E36"/>
  <c r="G36" s="1"/>
  <c r="I36" s="1"/>
  <c r="E37"/>
  <c r="G37"/>
  <c r="I37" s="1"/>
  <c r="E38"/>
  <c r="G38" s="1"/>
  <c r="I38" s="1"/>
  <c r="E39"/>
  <c r="G39"/>
  <c r="I39" s="1"/>
  <c r="E40"/>
  <c r="G40" s="1"/>
  <c r="I40" s="1"/>
  <c r="E41"/>
  <c r="G41"/>
  <c r="I41" s="1"/>
  <c r="E42"/>
  <c r="G42" s="1"/>
  <c r="I42" s="1"/>
  <c r="E43"/>
  <c r="G43"/>
  <c r="I43" s="1"/>
  <c r="E44"/>
  <c r="G44" s="1"/>
  <c r="I44" s="1"/>
  <c r="E45"/>
  <c r="G45"/>
  <c r="I45" s="1"/>
  <c r="E46"/>
  <c r="G46" s="1"/>
  <c r="I46" s="1"/>
  <c r="E47"/>
  <c r="G47"/>
  <c r="I47" s="1"/>
  <c r="E48"/>
  <c r="G48" s="1"/>
  <c r="I48" s="1"/>
  <c r="E49"/>
  <c r="G49"/>
  <c r="I49" s="1"/>
  <c r="E50"/>
  <c r="G50" s="1"/>
  <c r="I50" s="1"/>
  <c r="E51"/>
  <c r="G51"/>
  <c r="I51" s="1"/>
  <c r="E52"/>
  <c r="G52" s="1"/>
  <c r="I52" s="1"/>
  <c r="E53"/>
  <c r="G53"/>
  <c r="I53" s="1"/>
  <c r="E54"/>
  <c r="G54" s="1"/>
  <c r="I54" s="1"/>
  <c r="E55"/>
  <c r="G55"/>
  <c r="I55" s="1"/>
  <c r="E56"/>
  <c r="G56" s="1"/>
  <c r="I56" s="1"/>
  <c r="E57"/>
  <c r="G57"/>
  <c r="I57" s="1"/>
  <c r="E58"/>
  <c r="G58" s="1"/>
  <c r="I58" s="1"/>
  <c r="E59"/>
  <c r="G59"/>
  <c r="I59" s="1"/>
  <c r="E60"/>
  <c r="G60" s="1"/>
  <c r="I60" s="1"/>
  <c r="E61"/>
  <c r="G61"/>
  <c r="I61" s="1"/>
  <c r="C62"/>
  <c r="D62"/>
  <c r="E62"/>
  <c r="F62"/>
  <c r="H62"/>
  <c r="K74"/>
  <c r="K75"/>
  <c r="K80"/>
  <c r="K81"/>
  <c r="K83" s="1"/>
  <c r="K85" s="1"/>
  <c r="K82"/>
  <c r="E84"/>
  <c r="F88"/>
  <c r="D89"/>
  <c r="E89"/>
  <c r="E93" s="1"/>
  <c r="E95" s="1"/>
  <c r="E97" s="1"/>
  <c r="F89"/>
  <c r="K89"/>
  <c r="F90"/>
  <c r="K90"/>
  <c r="F91"/>
  <c r="D92"/>
  <c r="E92"/>
  <c r="F92" s="1"/>
  <c r="D93"/>
  <c r="D95" s="1"/>
  <c r="D97" s="1"/>
  <c r="E94"/>
  <c r="F94"/>
  <c r="K95"/>
  <c r="K96" s="1"/>
  <c r="K98" s="1"/>
  <c r="K100" s="1"/>
  <c r="F96"/>
  <c r="K97"/>
  <c r="K99"/>
  <c r="F10" i="6"/>
  <c r="G10" s="1"/>
  <c r="K10"/>
  <c r="L10"/>
  <c r="F11"/>
  <c r="G11"/>
  <c r="H11" s="1"/>
  <c r="K11"/>
  <c r="K18" s="1"/>
  <c r="K22" s="1"/>
  <c r="K26" s="1"/>
  <c r="L11"/>
  <c r="F12"/>
  <c r="G12" s="1"/>
  <c r="H12" s="1"/>
  <c r="K12"/>
  <c r="L12"/>
  <c r="F13"/>
  <c r="G13"/>
  <c r="H13" s="1"/>
  <c r="K13"/>
  <c r="L13"/>
  <c r="F14"/>
  <c r="G14" s="1"/>
  <c r="H14" s="1"/>
  <c r="K14"/>
  <c r="L14"/>
  <c r="F15"/>
  <c r="G15"/>
  <c r="H15" s="1"/>
  <c r="K15"/>
  <c r="L15"/>
  <c r="F16"/>
  <c r="F18" s="1"/>
  <c r="K16"/>
  <c r="L16"/>
  <c r="L18" s="1"/>
  <c r="L22" s="1"/>
  <c r="F17"/>
  <c r="G17"/>
  <c r="H17" s="1"/>
  <c r="K17"/>
  <c r="L17"/>
  <c r="B18"/>
  <c r="C18"/>
  <c r="D18"/>
  <c r="E18"/>
  <c r="C20"/>
  <c r="D20"/>
  <c r="F20" s="1"/>
  <c r="G20" s="1"/>
  <c r="H20" s="1"/>
  <c r="E20"/>
  <c r="K20"/>
  <c r="L20"/>
  <c r="L24"/>
  <c r="L26" s="1"/>
  <c r="D31"/>
  <c r="F31"/>
  <c r="H31" s="1"/>
  <c r="D32"/>
  <c r="F32"/>
  <c r="H32"/>
  <c r="D33"/>
  <c r="F33" s="1"/>
  <c r="H33" s="1"/>
  <c r="D34"/>
  <c r="F34" s="1"/>
  <c r="H34" s="1"/>
  <c r="D35"/>
  <c r="F35"/>
  <c r="H35" s="1"/>
  <c r="D36"/>
  <c r="F36"/>
  <c r="H36"/>
  <c r="D37"/>
  <c r="F37" s="1"/>
  <c r="H37" s="1"/>
  <c r="D38"/>
  <c r="F38" s="1"/>
  <c r="H38" s="1"/>
  <c r="G39"/>
  <c r="G12" i="7"/>
  <c r="F13"/>
  <c r="G13"/>
  <c r="G14"/>
  <c r="F15"/>
  <c r="G15" s="1"/>
  <c r="G16"/>
  <c r="F17"/>
  <c r="G17" s="1"/>
  <c r="G18"/>
  <c r="F19"/>
  <c r="G19"/>
  <c r="G20"/>
  <c r="F21"/>
  <c r="G21"/>
  <c r="G22"/>
  <c r="F23"/>
  <c r="G23" s="1"/>
  <c r="G24"/>
  <c r="C26"/>
  <c r="C47" s="1"/>
  <c r="E26"/>
  <c r="G31"/>
  <c r="F32"/>
  <c r="G32" s="1"/>
  <c r="G33"/>
  <c r="F34"/>
  <c r="G34"/>
  <c r="G35"/>
  <c r="F36"/>
  <c r="G36"/>
  <c r="G37"/>
  <c r="F38"/>
  <c r="G38" s="1"/>
  <c r="G39"/>
  <c r="F40"/>
  <c r="G40" s="1"/>
  <c r="G41"/>
  <c r="F42"/>
  <c r="G42"/>
  <c r="G43"/>
  <c r="F44"/>
  <c r="G44"/>
  <c r="C45"/>
  <c r="E45"/>
  <c r="E47"/>
  <c r="E49"/>
  <c r="F49"/>
  <c r="F50" s="1"/>
  <c r="F52" s="1"/>
  <c r="F55" s="1"/>
  <c r="E50"/>
  <c r="E56" s="1"/>
  <c r="F51"/>
  <c r="F53"/>
  <c r="F54"/>
  <c r="B11" i="8"/>
  <c r="B13"/>
  <c r="B14" s="1"/>
  <c r="E14"/>
  <c r="F12" s="1"/>
  <c r="G21"/>
  <c r="B22"/>
  <c r="C22" s="1"/>
  <c r="G22"/>
  <c r="G23"/>
  <c r="B24"/>
  <c r="C24" s="1"/>
  <c r="G24"/>
  <c r="B25"/>
  <c r="C21" s="1"/>
  <c r="E25"/>
  <c r="F25"/>
  <c r="G25"/>
  <c r="H21" s="1"/>
  <c r="H25"/>
  <c r="G32"/>
  <c r="B33"/>
  <c r="E33"/>
  <c r="G33" s="1"/>
  <c r="F33"/>
  <c r="F36" s="1"/>
  <c r="G34"/>
  <c r="B35"/>
  <c r="G35"/>
  <c r="E36"/>
  <c r="H36" s="1"/>
  <c r="C42"/>
  <c r="G43"/>
  <c r="H43"/>
  <c r="C45"/>
  <c r="H45"/>
  <c r="B46"/>
  <c r="C43" s="1"/>
  <c r="G46"/>
  <c r="H44" s="1"/>
  <c r="H46"/>
  <c r="D13" i="9"/>
  <c r="F13" s="1"/>
  <c r="F17" s="1"/>
  <c r="D14"/>
  <c r="F14"/>
  <c r="D15"/>
  <c r="F15" s="1"/>
  <c r="D16"/>
  <c r="F16"/>
  <c r="B17"/>
  <c r="C17"/>
  <c r="D17"/>
  <c r="D24"/>
  <c r="F24" s="1"/>
  <c r="F28" s="1"/>
  <c r="F32" s="1"/>
  <c r="D25"/>
  <c r="F25"/>
  <c r="D26"/>
  <c r="F26" s="1"/>
  <c r="D27"/>
  <c r="F27"/>
  <c r="B28"/>
  <c r="C28"/>
  <c r="D28"/>
  <c r="H10" i="6" l="1"/>
  <c r="F34" i="9"/>
  <c r="F36" s="1"/>
  <c r="H34" i="8"/>
  <c r="G36"/>
  <c r="H32" s="1"/>
  <c r="I62" i="5"/>
  <c r="D111" i="3"/>
  <c r="D113" s="1"/>
  <c r="I28" i="5"/>
  <c r="G62"/>
  <c r="K27" i="4"/>
  <c r="I28"/>
  <c r="I30" s="1"/>
  <c r="D79" i="3"/>
  <c r="K79" s="1"/>
  <c r="K100" s="1"/>
  <c r="K75"/>
  <c r="Q198" i="1"/>
  <c r="S197"/>
  <c r="G26" i="7"/>
  <c r="I77" i="4"/>
  <c r="F43"/>
  <c r="F45" s="1"/>
  <c r="F47" s="1"/>
  <c r="K28"/>
  <c r="I75"/>
  <c r="K69"/>
  <c r="K75" s="1"/>
  <c r="H33" i="8"/>
  <c r="F93" i="5"/>
  <c r="F95" s="1"/>
  <c r="F97" s="1"/>
  <c r="K62" i="3"/>
  <c r="K99" s="1"/>
  <c r="C12" i="8"/>
  <c r="C10"/>
  <c r="C13"/>
  <c r="C11"/>
  <c r="C14"/>
  <c r="H35"/>
  <c r="G45" i="7"/>
  <c r="H39" i="6"/>
  <c r="K65" i="4"/>
  <c r="K77" s="1"/>
  <c r="K83" s="1"/>
  <c r="K87" s="1"/>
  <c r="K91" s="1"/>
  <c r="K95" s="1"/>
  <c r="H24" i="8"/>
  <c r="H23"/>
  <c r="U201" i="1"/>
  <c r="U203" s="1"/>
  <c r="H22" i="8"/>
  <c r="F11"/>
  <c r="G16" i="6"/>
  <c r="H16" s="1"/>
  <c r="D75" i="4"/>
  <c r="D65"/>
  <c r="D77" s="1"/>
  <c r="K10"/>
  <c r="K14" s="1"/>
  <c r="K16" s="1"/>
  <c r="K52" i="3"/>
  <c r="D34"/>
  <c r="O173" i="2"/>
  <c r="C25" i="8"/>
  <c r="C23"/>
  <c r="F14"/>
  <c r="F10"/>
  <c r="D92" i="3"/>
  <c r="D17"/>
  <c r="C44" i="8"/>
  <c r="H42"/>
  <c r="F13"/>
  <c r="C46"/>
  <c r="B36"/>
  <c r="C33" s="1"/>
  <c r="G28" i="4"/>
  <c r="G30" s="1"/>
  <c r="G201" i="1"/>
  <c r="G202" s="1"/>
  <c r="G203" s="1"/>
  <c r="O174" i="2" l="1"/>
  <c r="Q173"/>
  <c r="G18" i="6"/>
  <c r="D96" i="3"/>
  <c r="K96" s="1"/>
  <c r="K101" s="1"/>
  <c r="K92"/>
  <c r="K30" i="4"/>
  <c r="K18"/>
  <c r="G47" i="7"/>
  <c r="H18" i="6"/>
  <c r="D21" i="3"/>
  <c r="K21" s="1"/>
  <c r="K103" s="1"/>
  <c r="K17"/>
  <c r="C32" i="8"/>
  <c r="C34"/>
  <c r="C35"/>
  <c r="C36"/>
  <c r="D38" i="3"/>
  <c r="K38" s="1"/>
  <c r="K98" s="1"/>
  <c r="K102" s="1"/>
  <c r="K34"/>
  <c r="I37" i="4" l="1"/>
  <c r="K37" s="1"/>
  <c r="I38"/>
  <c r="K32"/>
  <c r="K34" s="1"/>
  <c r="H47" s="1"/>
  <c r="K104" i="3"/>
  <c r="K38" i="4" l="1"/>
  <c r="I39"/>
  <c r="J47"/>
  <c r="H48"/>
  <c r="K39" l="1"/>
  <c r="I40"/>
  <c r="J48"/>
  <c r="L47"/>
  <c r="L48" s="1"/>
  <c r="K40" l="1"/>
  <c r="I41"/>
  <c r="K41" l="1"/>
  <c r="I42"/>
  <c r="K42" s="1"/>
</calcChain>
</file>

<file path=xl/comments1.xml><?xml version="1.0" encoding="utf-8"?>
<comments xmlns="http://schemas.openxmlformats.org/spreadsheetml/2006/main">
  <authors>
    <author/>
  </authors>
  <commentList>
    <comment ref="F116" authorId="0">
      <text>
        <r>
          <rPr>
            <sz val="10"/>
            <rFont val="Arial"/>
            <family val="2"/>
          </rPr>
          <t>TRT:
SETORES</t>
        </r>
      </text>
    </comment>
    <comment ref="F121" authorId="0">
      <text>
        <r>
          <rPr>
            <sz val="10"/>
            <rFont val="Arial"/>
            <family val="2"/>
          </rPr>
          <t>TRT:
SEÇÕES</t>
        </r>
      </text>
    </comment>
  </commentList>
</comments>
</file>

<file path=xl/sharedStrings.xml><?xml version="1.0" encoding="utf-8"?>
<sst xmlns="http://schemas.openxmlformats.org/spreadsheetml/2006/main" count="1932" uniqueCount="438">
  <si>
    <t>RESOLUÇÃO ADMINISTRATIVA Nº 95/2012-(1465)</t>
  </si>
  <si>
    <t>ADEQUAÇÃO À RESOLUÇÃO 63/CSJT ÁREA DE APOIO ADMINISTRATIVO</t>
  </si>
  <si>
    <t>TABELA A</t>
  </si>
  <si>
    <t>UNIDADES DE APOIO ADMINISTRATIVO</t>
  </si>
  <si>
    <t>SITUAÇÃO ATUAL</t>
  </si>
  <si>
    <t>PROPOSTA - DESEMBARGADOR ALEXANDRE NERY</t>
  </si>
  <si>
    <t>PROPOSTA - ADEQUAÇÃO DO</t>
  </si>
  <si>
    <t>TRT MODERNO</t>
  </si>
  <si>
    <t>SITUAÇÃO CONSIDERANDO A RA 63/CSJT</t>
  </si>
  <si>
    <t>TRT MODERNO À RA 63/CSJT</t>
  </si>
  <si>
    <t>DENOMINAÇÃO CJ/FC</t>
  </si>
  <si>
    <t>FC E CJ</t>
  </si>
  <si>
    <t>QUANTIDADE</t>
  </si>
  <si>
    <t>VALOR UNITÁRIO</t>
  </si>
  <si>
    <t>VALOR TOTAL</t>
  </si>
  <si>
    <t>COMENTÁRIOS</t>
  </si>
  <si>
    <t>SECRETARIA-GERAL DA PRESIDÊNCIA - SGPRE</t>
  </si>
  <si>
    <t>Secretário Geral da Presidência</t>
  </si>
  <si>
    <t>CJ4</t>
  </si>
  <si>
    <t>Assessor Especial da SGPRE</t>
  </si>
  <si>
    <t>CJ1</t>
  </si>
  <si>
    <t>Assessor da Especial SGPRE</t>
  </si>
  <si>
    <t>FC2</t>
  </si>
  <si>
    <t>FC4</t>
  </si>
  <si>
    <t>FC3</t>
  </si>
  <si>
    <t>COORDENADORIA DE GESTÃO ESTRATÉGICA - CDEST</t>
  </si>
  <si>
    <t>Coordenador</t>
  </si>
  <si>
    <t>CJ2</t>
  </si>
  <si>
    <t>CJ3</t>
  </si>
  <si>
    <t>Coordenador de Gestão Estratégica</t>
  </si>
  <si>
    <t>- Escritório de projetos</t>
  </si>
  <si>
    <t>FC6</t>
  </si>
  <si>
    <t>(Transformada 1 FC5 em 1 FC6)</t>
  </si>
  <si>
    <t>Chefe de Escritório de Proj. Estratégic</t>
  </si>
  <si>
    <t>FC5</t>
  </si>
  <si>
    <t>Chefe de Seção</t>
  </si>
  <si>
    <t>Assistente de Gestão Estratégica</t>
  </si>
  <si>
    <t>- RA 97/CSJT</t>
  </si>
  <si>
    <t>NÚCLEO DE COMUNICAÇÃO E CERIMONIAL - NUCOM</t>
  </si>
  <si>
    <t>Chefe de Núcleo</t>
  </si>
  <si>
    <t>Comunicação e Divulgação</t>
  </si>
  <si>
    <t>Imprensa e Publicidade</t>
  </si>
  <si>
    <t>Técnico Especializado</t>
  </si>
  <si>
    <t>- RA 80/CSJT</t>
  </si>
  <si>
    <t>Assistente</t>
  </si>
  <si>
    <t>FC1</t>
  </si>
  <si>
    <t>Assistente 1</t>
  </si>
  <si>
    <t>SECRETARIA DE TECNOLOGIA DA INFORMAÇÃO E COMUNICAÇÃO - SETIN</t>
  </si>
  <si>
    <t>Secretário</t>
  </si>
  <si>
    <t>- RA 90/CNJ</t>
  </si>
  <si>
    <t>Especialista</t>
  </si>
  <si>
    <t>Escritório de Governança de TI</t>
  </si>
  <si>
    <t>Escritório  de Segurança da informação</t>
  </si>
  <si>
    <t>COORDENADORIA DE SISTEMAS - CDSIS</t>
  </si>
  <si>
    <t>Chefe da Seção</t>
  </si>
  <si>
    <t>COORDENADORIA DE SUPORTE AO USUÁRIO - CDSUP</t>
  </si>
  <si>
    <t>COORDENADORIA DE TECNOLOGIA - CDTEC</t>
  </si>
  <si>
    <t>COORDENADORIA DE CONTROLE INTERNO - CDCOI</t>
  </si>
  <si>
    <t>COORDENADORIA TÉCNICA DA ESCOLA JUDICIAL - CDTEJ</t>
  </si>
  <si>
    <t>OUVIDORIA - OUVJU</t>
  </si>
  <si>
    <t>DIRETORIA-GERAL - DIGER</t>
  </si>
  <si>
    <t>Diretor-Geral</t>
  </si>
  <si>
    <t>Assessor Especiala da DG</t>
  </si>
  <si>
    <t>Chefe de Gab e Assistente Jurídico</t>
  </si>
  <si>
    <t>SECRETARIA DE ADMINISTRAÇÃO - SEADM</t>
  </si>
  <si>
    <t>Chefe de Setor e Técnico Especializado</t>
  </si>
  <si>
    <t>COORDENADORIA DE SERVIÇOS GERAIS - CDSEG</t>
  </si>
  <si>
    <t>Chefe de Seção e Especialista</t>
  </si>
  <si>
    <t>Chefe de Setor</t>
  </si>
  <si>
    <t>NÚCLEO DE CONTRATOS - NUCON</t>
  </si>
  <si>
    <t>NÚCLEO DE LICITAÇÕES - NULIC</t>
  </si>
  <si>
    <t>NÚCLEO DE MANUTENÇÃO E PROJETOS - NUPRO</t>
  </si>
  <si>
    <t>Núcleo de Projetos e Arquitetura</t>
  </si>
  <si>
    <t>Núcleo de Obras e Acompanhamento Técnico</t>
  </si>
  <si>
    <t>Núcleo de Reparos e Manutenção Predial</t>
  </si>
  <si>
    <t>NÚCLEO DE MATERIAL E LOGÍSTICA - NULOG</t>
  </si>
  <si>
    <t>NÚCLEO DE AQUISIÇÕES DE BENS E SERVIÇOS - NUAQS</t>
  </si>
  <si>
    <t>SECRETARIA DE ORÇAMENTO E FINANÇAS - SEORF</t>
  </si>
  <si>
    <r>
      <t>Segregação de funções de gestores de recursos orçamentários, financeiros e contábil (</t>
    </r>
    <r>
      <rPr>
        <b/>
        <sz val="11"/>
        <color indexed="57"/>
        <rFont val="Calibri"/>
        <family val="2"/>
        <charset val="1"/>
      </rPr>
      <t>exigência do TCU</t>
    </r>
    <r>
      <rPr>
        <sz val="11"/>
        <color indexed="8"/>
        <rFont val="Calibri"/>
        <family val="2"/>
        <charset val="1"/>
      </rPr>
      <t>)</t>
    </r>
  </si>
  <si>
    <t>NÚCLEO DE EMPENHO E EXECUÇÃO ORÇAMENTÁRIA - NUEMP</t>
  </si>
  <si>
    <t>Especialista em Execução Orçamentária</t>
  </si>
  <si>
    <t>NúCLEO DE PAGAMENTO DE BENS E SERVIÇOS - NUPBS</t>
  </si>
  <si>
    <t>Especialista em Execução Financeira</t>
  </si>
  <si>
    <t>NÚCLEO DE CONTABILIDADE ANALÍTICA - NUCAN</t>
  </si>
  <si>
    <t>Especialista em Contabilidade</t>
  </si>
  <si>
    <t>SECRETARIA DE GESTÃO DE PESSOAS - SEGEP</t>
  </si>
  <si>
    <t>NÚCLEO DE DESENVOLVIMENTO DE PESSOAS - NUDES</t>
  </si>
  <si>
    <t>SEÇÃO DE RESPONSABILIDADE SÓCIO-AMBIENTAL - SERSA</t>
  </si>
  <si>
    <t>Recomendação 11/CSJT</t>
  </si>
  <si>
    <t>SEÇÃO DE QUALIDADE DE VIDA NO TRABALHO - SEQVT</t>
  </si>
  <si>
    <t>RA 84/CSJT</t>
  </si>
  <si>
    <t>NÚCLEO DE SAÚDE - NUSAU</t>
  </si>
  <si>
    <t>COORDENADORIA DE PESSOAL E INFORMAÇÕES FUNCIONAIS - CDPES</t>
  </si>
  <si>
    <t>Chefe de Seção e Especalista</t>
  </si>
  <si>
    <t>NÚCLEO DE CADASTRO DE SERVIDORES ATIVOS</t>
  </si>
  <si>
    <t>NÚCLEO DE CADASTRO DE MAGISTRADOS E INATIVOS</t>
  </si>
  <si>
    <t>NÚCLEO DE PAGAMENTO DE PESSOAL - NUPAG</t>
  </si>
  <si>
    <t>COORDENADORIA DE ASSISTÊNCIA AO PESSOAL</t>
  </si>
  <si>
    <t>Núcleo de Acompanhamento Funcional (Núcleo de Aprimoramento Pessoal)</t>
  </si>
  <si>
    <t>Limite de funções RA 63/CSJT</t>
  </si>
  <si>
    <t>Quantidade de funções Apoio Administrativo</t>
  </si>
  <si>
    <t>Percentual de funções Apoio Administrativo</t>
  </si>
  <si>
    <t>Total atual de funções na Área de Apoio Admistrativo</t>
  </si>
  <si>
    <t>Proposta de adequação à RA 63/CSJT</t>
  </si>
  <si>
    <t>Redução da quantidade de FC1</t>
  </si>
  <si>
    <t>Percentual de redução</t>
  </si>
  <si>
    <t>Brasília-DF, 07 de dezembro de 2012</t>
  </si>
  <si>
    <t>ADEQUAÇÃO À RESOLUÇÃO 63/CSJT ÁREA DE APOIO JUDICIÁRIO</t>
  </si>
  <si>
    <t>TABELA B</t>
  </si>
  <si>
    <t>UNIDADES DE APOIO JUDICIARIO</t>
  </si>
  <si>
    <t>GABINETE DA PRESIDÊNCIA - GBPRE</t>
  </si>
  <si>
    <t>Chefe de Gabinete</t>
  </si>
  <si>
    <t>ASSESSORIA DA PRESIDÊNCIA - ASPRE</t>
  </si>
  <si>
    <t>Assessor da Presidência</t>
  </si>
  <si>
    <t>NÚCLEO DE CERIMONIAL - NUCER</t>
  </si>
  <si>
    <t>SEÇÃO DE GESTÃO DOCUMENTAL - SEDOC</t>
  </si>
  <si>
    <t>(Recomendação 12/CSJT</t>
  </si>
  <si>
    <t>ASSESSORIA PARA RECURSO DE REVISTA - ASREV</t>
  </si>
  <si>
    <t>Assessor para Recurso de Revista</t>
  </si>
  <si>
    <t>Assistente de Revista</t>
  </si>
  <si>
    <t>SECRETARIA DA CORREGEDORIA REGIONAL - SECOR</t>
  </si>
  <si>
    <t>Assistente da Corregedoria</t>
  </si>
  <si>
    <t>SECRETARIA-GERAL JUDICIÁRIA - SGJUD</t>
  </si>
  <si>
    <t>Secretário-Geral Judiciário</t>
  </si>
  <si>
    <t>Assessor Especial</t>
  </si>
  <si>
    <t>Chefe de Gabinete e Chefe de Seção</t>
  </si>
  <si>
    <t>SECRETARIA DE APOIO JUDICIÁRIO - SEAJU</t>
  </si>
  <si>
    <t>Assistente de Apoio Judiciário</t>
  </si>
  <si>
    <t>NÚCLEO DE RECURSOS - NUREC</t>
  </si>
  <si>
    <t>NÚCLEO DE ARQUIVO GERAL - NUARQ</t>
  </si>
  <si>
    <t>SECRETARIA DE CÁLCULOS JUDICIAIS E ASSESSORAMENTO ECONÔMICO - SECAL</t>
  </si>
  <si>
    <t>Acréscimo de mais 6 FC4 - Calculista</t>
  </si>
  <si>
    <t>Serão utilizadas para montar a estrutura da Secretaria de Cálculos Judiciais</t>
  </si>
  <si>
    <t>Calculista</t>
  </si>
  <si>
    <t>SECRETARIA DO TRIBUNAL PLENO - SEPLE</t>
  </si>
  <si>
    <t>Subsecretário</t>
  </si>
  <si>
    <t>SECRETARIA DA 1ª TURMA - SETU1</t>
  </si>
  <si>
    <t>SECRETARIA DA 2ª TURMA - SETU2</t>
  </si>
  <si>
    <t>SECRETARIA DA 3ª TURMA - SETU3</t>
  </si>
  <si>
    <t>COORDENADORIA DE APOIO AO JUIZO CONCILIATÓRIO - CDJUC</t>
  </si>
  <si>
    <t>Assistente de Diretor</t>
  </si>
  <si>
    <t>NÚCLEO DE PRECATÓRIOS</t>
  </si>
  <si>
    <t>Ouvidoria (Vice-Presidência)</t>
  </si>
  <si>
    <t>COORDENADORIA DE CADASTRAMENTO E DISTRIBUIÇÃO PROCESSUAL DO 2º GRAU - CDCAD</t>
  </si>
  <si>
    <t>NÚCLEO DE APOIO AO FORO DE BRASÍLIA - NUAFB</t>
  </si>
  <si>
    <t>NÚCLEO DE MANDADOS JUDICIAIS - NUMJU</t>
  </si>
  <si>
    <t>NÚCLEO DE CADASTRAMENTO PROCESSUAL E DISTRIBUIÇÃO DE FEITOS DO FORO DE BRASÍLIA - NUDFB</t>
  </si>
  <si>
    <r>
      <t>Núcleo de Depósito e Alienações Judiciais (</t>
    </r>
    <r>
      <rPr>
        <b/>
        <sz val="11"/>
        <color indexed="57"/>
        <rFont val="Calibri"/>
        <family val="2"/>
        <charset val="1"/>
      </rPr>
      <t>alterar a nomeclatura</t>
    </r>
    <r>
      <rPr>
        <b/>
        <sz val="11"/>
        <color indexed="10"/>
        <rFont val="Calibri"/>
        <family val="2"/>
        <charset val="1"/>
      </rPr>
      <t>)</t>
    </r>
  </si>
  <si>
    <t>Trasnferido para Núcleo de Apoio ao Foro de BSB/DF</t>
  </si>
  <si>
    <t>SEÇÃO DE APOIO AO FORO TRABALHISTA DE TAGUATINGA (FORO TRABALHISTA DE TAGUATINGA) - FTTAG</t>
  </si>
  <si>
    <r>
      <t>NÚCLEO DE APOIO À VARA DO TRABALHO DO GAMA (</t>
    </r>
    <r>
      <rPr>
        <b/>
        <sz val="11"/>
        <color indexed="57"/>
        <rFont val="Calibri"/>
        <family val="2"/>
        <charset val="1"/>
      </rPr>
      <t>NÃO EXISTE ESTA UNIDADE DE APOIO NO TRT MODERNO</t>
    </r>
    <r>
      <rPr>
        <b/>
        <sz val="11"/>
        <color indexed="10"/>
        <rFont val="Calibri"/>
        <family val="2"/>
        <charset val="1"/>
      </rPr>
      <t>) - VTGAM</t>
    </r>
  </si>
  <si>
    <t>Poderá ser atendida com parte das funções excedentes, no sentido de dar apoio ao PJE</t>
  </si>
  <si>
    <t>SEÇÃO DE APOIO AO FORO TRABALHISTA ARAGUAINA (FORO TRABALHISTA DE ARAGUAINA) - FTARA</t>
  </si>
  <si>
    <t>SEÇÃO DE APOIO AO FORO TRABALHISTA DE PALMAS (FORO TRABALHISTA DE PALMAS) - FTPAL</t>
  </si>
  <si>
    <t>VARAS DO TRABALHO DE DIANÓPOLIS, GUARAÍ E GURUPI-TO</t>
  </si>
  <si>
    <r>
      <t>NÚCLEO DE APOIO À VARA DO TRABALHO DE GURUPI (</t>
    </r>
    <r>
      <rPr>
        <b/>
        <sz val="11"/>
        <color indexed="57"/>
        <rFont val="Calibri"/>
        <family val="2"/>
        <charset val="1"/>
      </rPr>
      <t>NÃO EXISTE ESTA UNIDADE DE APOIO NO TRT MODERNO</t>
    </r>
    <r>
      <rPr>
        <b/>
        <sz val="11"/>
        <color indexed="10"/>
        <rFont val="Calibri"/>
        <family val="2"/>
        <charset val="1"/>
      </rPr>
      <t>) - VTGUR</t>
    </r>
  </si>
  <si>
    <r>
      <t>NÚCLEO DE APOIO À VARA DO TRABALHO DE DIANÓPOLIS (</t>
    </r>
    <r>
      <rPr>
        <b/>
        <sz val="11"/>
        <color indexed="57"/>
        <rFont val="Calibri"/>
        <family val="2"/>
        <charset val="1"/>
      </rPr>
      <t>NÃO EXISTE ESTA UNIDADE DE APOIO NO TRT MODERNO</t>
    </r>
    <r>
      <rPr>
        <b/>
        <sz val="11"/>
        <color indexed="10"/>
        <rFont val="Calibri"/>
        <family val="2"/>
        <charset val="1"/>
      </rPr>
      <t>) - VTDIA</t>
    </r>
  </si>
  <si>
    <r>
      <t>NÚCLEO DE APOIO À VARA DO TRABALHO DE GUARAÍ (</t>
    </r>
    <r>
      <rPr>
        <b/>
        <sz val="11"/>
        <color indexed="57"/>
        <rFont val="Calibri"/>
        <family val="2"/>
        <charset val="1"/>
      </rPr>
      <t>NÃO EXISTE ESTA UNIDADE DE APOIO NO TRT MODERNO</t>
    </r>
    <r>
      <rPr>
        <b/>
        <sz val="11"/>
        <color indexed="10"/>
        <rFont val="Calibri"/>
        <family val="2"/>
        <charset val="1"/>
      </rPr>
      <t>) - VTGUA</t>
    </r>
  </si>
  <si>
    <t>Quantidade de funções Apoio Judiciário</t>
  </si>
  <si>
    <t>Porcentual de funções Apoio Judiciário</t>
  </si>
  <si>
    <t>ESTRUTURA DA SECRETARIA DE CÁLCULOS JUDICIAIS - DF</t>
  </si>
  <si>
    <t>Total atual de funções na Área de Apoio Judiciário</t>
  </si>
  <si>
    <t>DENOMINAÇÃO FC/CJ</t>
  </si>
  <si>
    <t>CÓDIGO</t>
  </si>
  <si>
    <t>RA 63</t>
  </si>
  <si>
    <t>ATUAL</t>
  </si>
  <si>
    <t>Chefe de Seção/Especialista</t>
  </si>
  <si>
    <t>Redução da quantidade de funções FC1</t>
  </si>
  <si>
    <t>Porcentual de redução</t>
  </si>
  <si>
    <t>TOTAL</t>
  </si>
  <si>
    <t>ESTRUTURA DA SECRETARIA DE CÁLCULOS JUDICIAIS - ARAGUAÍNA/TO</t>
  </si>
  <si>
    <t>MÉMORIA DE CÁLCULO FUNÇÕES ÁREA DE APOIO JUDICIÁRIO</t>
  </si>
  <si>
    <t>Total de funções atuais</t>
  </si>
  <si>
    <t>Acréscimo de FC4 Cálculo Judiciais</t>
  </si>
  <si>
    <t>ESTRUTURA DA SECRETARIA DE CÁLCULOS JUDICIAIS - PALMAS/TO</t>
  </si>
  <si>
    <t>Acréscimo de FC5 - SEDOC</t>
  </si>
  <si>
    <t>SUBTOTAL</t>
  </si>
  <si>
    <t>Redução de FC4 Calculistas VT/TO Individuais</t>
  </si>
  <si>
    <t>SUBTOTAL 2</t>
  </si>
  <si>
    <t>Redução FC1 área de apoio judiciário, a ser recomposta com excedentes</t>
  </si>
  <si>
    <t>RESULTADO FINAL</t>
  </si>
  <si>
    <t>TABELA C</t>
  </si>
  <si>
    <t>REPERCUSSÃO FINANCEIRA</t>
  </si>
  <si>
    <t>GABINETES DOS DESEMBARGADORES</t>
  </si>
  <si>
    <t>REPERCUSSÃO FINANCEIRA INDIVIDUAL</t>
  </si>
  <si>
    <t>FUNÇÕES E CARGOS COMISSIONADOS</t>
  </si>
  <si>
    <t>QUANTI DADE</t>
  </si>
  <si>
    <t>QUANTIDADE GABINETES</t>
  </si>
  <si>
    <t>QUANTIDADE DE GABINETES</t>
  </si>
  <si>
    <t>DEFICIT TOTAL</t>
  </si>
  <si>
    <t>TOTAL DA DESPESA</t>
  </si>
  <si>
    <t>VARAS DO TRABALHO DE BRASÍLIA/DF, ARAGUAÍNA E GURUPI/TO</t>
  </si>
  <si>
    <t>QUANTIDADE VARAS DO TRABALHO</t>
  </si>
  <si>
    <t>Brasília-DF, 07 dezembro de 2012.</t>
  </si>
  <si>
    <t>TABELA C (...continuação)</t>
  </si>
  <si>
    <t>VARAS DO TRABALHO DE TAGUATINGA, GAMA/DF E GUARAÍ/TO</t>
  </si>
  <si>
    <t>VARAS DO TRABALHO DE PALMAS/TO</t>
  </si>
  <si>
    <t>VARA DO TRABALHO DE DIANÓPOLIS/TO</t>
  </si>
  <si>
    <t>REPERCUSSÃO FINANCEIRA TOTAL DAS VARAS DO TRABALHO DF/TO</t>
  </si>
  <si>
    <t>REPERCUSSÃO FINANCEIRA TOTAL DOS GABINETES DE DESEMBARGADORES</t>
  </si>
  <si>
    <t>SUPERÁVIT FINANCEIRO</t>
  </si>
  <si>
    <t>CJ/FC</t>
  </si>
  <si>
    <t>GAB</t>
  </si>
  <si>
    <t>VT</t>
  </si>
  <si>
    <t>QUANTIDADE DE FUNÇÕES NOS GABINETES DE DESEMBARGADORES E NAS VARAS DO TRABALHO, OBSERVANDO OS PARÂMETROS ESTABELECIDOS PELA RESOLUÇÃO 63/CSJT</t>
  </si>
  <si>
    <t>TABELA D</t>
  </si>
  <si>
    <t>PROPOSTA DG/CDPES</t>
  </si>
  <si>
    <t>VALORES TOTAIS POR CARGO EM COMISSÃO</t>
  </si>
  <si>
    <t>SALDO</t>
  </si>
  <si>
    <t>NÍVEL</t>
  </si>
  <si>
    <t>QUANT</t>
  </si>
  <si>
    <t>VLR. UNIT</t>
  </si>
  <si>
    <t>VLR. TOTAL</t>
  </si>
  <si>
    <t>CJ 4</t>
  </si>
  <si>
    <t>OK</t>
  </si>
  <si>
    <t>CJ 3</t>
  </si>
  <si>
    <t>CJ 2</t>
  </si>
  <si>
    <t>CJ 1</t>
  </si>
  <si>
    <t>SALDO DE CJ DE REESTRUTURAÇÃO ANTERIORES</t>
  </si>
  <si>
    <t>SALDO APÓS USO DO SALDO ACIMA</t>
  </si>
  <si>
    <t>SALDO DA SOBRA DAS FC1 ACIMA</t>
  </si>
  <si>
    <t>VALORES TOTAIS POR FUNÇÕES COMISSIONADAS</t>
  </si>
  <si>
    <t>FC 6</t>
  </si>
  <si>
    <t>FC 5</t>
  </si>
  <si>
    <t>FC 4</t>
  </si>
  <si>
    <t>FC 3</t>
  </si>
  <si>
    <t>FC 2</t>
  </si>
  <si>
    <t>FC 1</t>
  </si>
  <si>
    <t>TOTAL GERAL</t>
  </si>
  <si>
    <t>SALDO DE FC DE REESTRUTURAÇÃO ANTERIORES</t>
  </si>
  <si>
    <t>SALDO FINAL</t>
  </si>
  <si>
    <t>Repercussão financeira das novas Varas do Trabalho</t>
  </si>
  <si>
    <t>SALDO REMANESCENTE APÓS REPERCUSSÃO ACIMA</t>
  </si>
  <si>
    <t>MEDIDAS PARA AJUSTE AO LIMITE ESTABELECIDO PELA RESOLUÇÃO 63/CSJT</t>
  </si>
  <si>
    <t>TIPO</t>
  </si>
  <si>
    <t>FC</t>
  </si>
  <si>
    <t>QUANTID</t>
  </si>
  <si>
    <t>VERIFICAÇÃO</t>
  </si>
  <si>
    <t>GABINETES DE DESEMBARGADORES</t>
  </si>
  <si>
    <t>VARAS DO TRABALHO</t>
  </si>
  <si>
    <t>CALCULISTAS</t>
  </si>
  <si>
    <t>APOIO ADMINISTRATIVO</t>
  </si>
  <si>
    <t>APOIO JUDICIÁRIO</t>
  </si>
  <si>
    <t>FC EXCEDENTES</t>
  </si>
  <si>
    <t>VU - FC</t>
  </si>
  <si>
    <t>TOTAL EXCEDENTE</t>
  </si>
  <si>
    <t>UJ</t>
  </si>
  <si>
    <t>TOTAL ATUAL</t>
  </si>
  <si>
    <t>REDUÇÃO</t>
  </si>
  <si>
    <t>Sobra após as adequações da área administrativa e apoio judiciário</t>
  </si>
  <si>
    <t>Sobra após a transformação do valor excedente em funções</t>
  </si>
  <si>
    <t>TABELA D (...continuação)</t>
  </si>
  <si>
    <t>Resolução Administrativa nº 37/2003</t>
  </si>
  <si>
    <t>Processo Administrativo 641/2003</t>
  </si>
  <si>
    <t>Resolução Administrativa nº 49/2009</t>
  </si>
  <si>
    <t>SUPERÁVIT APÓS O USO DO SALDO DE CJ DE REESTRUTURAÇÃO ANTERIORES</t>
  </si>
  <si>
    <t>VALOR FC1</t>
  </si>
  <si>
    <t>QUANT. FC1 EXCED</t>
  </si>
  <si>
    <t>VALOR REFERENTE ÀS CJ/FC NOVAS VARAS DO TRABALHO, EXCETO 3 CALCULISTAS</t>
  </si>
  <si>
    <t>SALDO APÓS A RESERVA PARA AS FUNÇÕES EXCEDENTES</t>
  </si>
  <si>
    <t>SALDO FINAL PARA CRIAÇÃO DE FUNÇÕES TRANSITÓRIAS</t>
  </si>
  <si>
    <t>QUANT. FC1 TRANSITÓRIAS</t>
  </si>
  <si>
    <t>Brasília-DF, 07 de Dezembro de 2012</t>
  </si>
  <si>
    <t>SUPERÁVIT FINAL APÓS CRIAÇÃO DE FUNÇÕES EXCEDENTES E TRANSITÓRIAS</t>
  </si>
  <si>
    <t>TABELA E</t>
  </si>
  <si>
    <t>DESTINAÇÃO DE PARTE DAS FUNÇÕES ORIUNDAS DO VALOR EXCEDENTE,  APÓS A ADEQUAÇÃO À RESOLUÇÃO 63/CSJT, PARA AS VARAS DO TRABALHO ATUAIS</t>
  </si>
  <si>
    <t>DESTINAÇÃO DAS FUNÇÕES TRANSITÓRIAS ORIUNDAS DO VALOR DAS NOVAS VARAS DO TRABALHO,  APÓS A ADEQUAÇÃO À RESOLUÇÃO 63/CSJT, PARA AS VARAS DO TRABALHO ATUAIS</t>
  </si>
  <si>
    <t>UNIDADES QUE UTILIZARÃO FUNÇOES COMISSIONADAS ORIUNDAS DO VALOR EXCEDENTE</t>
  </si>
  <si>
    <t>NOME DA FUNÇÃO</t>
  </si>
  <si>
    <t>NÚCLEO DE CADASTRAMENTO E DISTRIBUIÇÃO PROCESSUAL DO 2º GRAU - NUCAD</t>
  </si>
  <si>
    <t>Assistente 4</t>
  </si>
  <si>
    <t>NÚCLEO DE APOIO AO FORO TRABALHISTA DE TAGUATINGA (FORO TRABALHISTA DE TAGUATINGA) - FTTAG</t>
  </si>
  <si>
    <t>NÚCLEO DE APOIO À VARA DO TRABALHO DO GAMA - VTGAM</t>
  </si>
  <si>
    <t>NUCLEO DE APOIO AO FORO TRABALHISTA DE ARAGUAINA (FORO TRABALHISTA DE ARAGUAINA) - FTARA</t>
  </si>
  <si>
    <t>NÚCLEO DE APOIO AO FORO TRABALHISTA DE PALMAS (FORO TRABALHISTA DE PALMAS) - FTPAL</t>
  </si>
  <si>
    <t>NÚCLEO DE APOIO À VARA DO TRABALHO DE GURUPI - VTGUR</t>
  </si>
  <si>
    <t>NÚCLEO DE APOIO À VARA DO TRABALHO DE DIANÓPOLIS - VTDIA</t>
  </si>
  <si>
    <t>NÚCLEO DE APOIO À VARA DO TRABALHO DE GUARAÍ - VTGUA</t>
  </si>
  <si>
    <r>
      <t>Nota 1</t>
    </r>
    <r>
      <rPr>
        <sz val="11"/>
        <color indexed="8"/>
        <rFont val="Calibri"/>
        <family val="2"/>
        <charset val="1"/>
      </rPr>
      <t>: Estas funções estarão vinculadas à Vara do Trabalho do Juiz Diretor do Foro Trabalhista de cada jurisdição e terão como finalidade dar apoio técnico às unidades judiciárias do 1º Grau com o intuito de viabilizar a prestação jurisdicional.</t>
    </r>
  </si>
  <si>
    <t>ORDEM</t>
  </si>
  <si>
    <t>VARAS DO TRABALHO DA 10ª REGIÃO</t>
  </si>
  <si>
    <r>
      <t xml:space="preserve">FUNÇÕES COMISSIONADAS EXCEDENTES - </t>
    </r>
    <r>
      <rPr>
        <b/>
        <sz val="11"/>
        <color indexed="10"/>
        <rFont val="Calibri"/>
        <family val="2"/>
        <charset val="1"/>
      </rPr>
      <t>FC1</t>
    </r>
  </si>
  <si>
    <t>FUNÇÕES TRANSITÓRIAS CRIADAS COM OS RECURSOS FINANCEIROS CORRESPONDENTES À ESTRUTURA DAS NOVAS VARAS DO TRABALHO, EXCETO 3 CALCULISTAS</t>
  </si>
  <si>
    <t>TOTAL FINAL, APÓS A IMPLANTAÇÃO DA RESOLUÇÃO 63/CSJT</t>
  </si>
  <si>
    <t>CRITÉRIOS RESOLUÇÃO 63/CSJT</t>
  </si>
  <si>
    <t>LIMITE</t>
  </si>
  <si>
    <r>
      <t>EXCLUÍDAS</t>
    </r>
    <r>
      <rPr>
        <b/>
        <sz val="14"/>
        <color indexed="10"/>
        <rFont val="Calibri"/>
        <family val="2"/>
      </rPr>
      <t>¹</t>
    </r>
    <r>
      <rPr>
        <b/>
        <sz val="11"/>
        <color indexed="8"/>
        <rFont val="Calibri"/>
        <family val="2"/>
        <charset val="1"/>
      </rPr>
      <t xml:space="preserve"> </t>
    </r>
  </si>
  <si>
    <t>EXCEDENTE</t>
  </si>
  <si>
    <t>1ª Vara do Trabalho de Brasília/DF</t>
  </si>
  <si>
    <t>2ª Vara do Trabalho de Brasília/DF</t>
  </si>
  <si>
    <t>3ª Vara do Trabalho de Brasília/DF</t>
  </si>
  <si>
    <t>4ª Vara do Trabalho de Brasília/DF</t>
  </si>
  <si>
    <t>5ª Vara do Trabalho de Brasília/DF</t>
  </si>
  <si>
    <t>6ª Vara do Trabalho de Brasília/DF</t>
  </si>
  <si>
    <t>7ª Vara do Trabalho de Brasília/DF</t>
  </si>
  <si>
    <t>8ª Vara do Trabalho de Brasília/DF</t>
  </si>
  <si>
    <t>9ª Vara do Trabalho de Brasília/DF</t>
  </si>
  <si>
    <t>10ª Vara do Trabalho de Brasília/DF</t>
  </si>
  <si>
    <t>11ª Vara do Trabalho de Brasília/DF</t>
  </si>
  <si>
    <t>12 Vara do Trabalho de Brasília/DF</t>
  </si>
  <si>
    <t>13 Vara do Trabalho de Brasília/DF</t>
  </si>
  <si>
    <t>14 Vara do Trabalho de Brasília/DF</t>
  </si>
  <si>
    <t>15ª Vara do Trabalho de Brasília/DF</t>
  </si>
  <si>
    <t>16 Vara do Trabalho de Brasília/DF</t>
  </si>
  <si>
    <t>17ª Vara do Trabalho de Brasília/DF</t>
  </si>
  <si>
    <t>18 Vara do Trabalho de Brasília/DF</t>
  </si>
  <si>
    <t>19ª Vara do Trabalho de Brasília/DF</t>
  </si>
  <si>
    <t>20ª Vara do Trabalho de Brasília/DF</t>
  </si>
  <si>
    <t>21ª Vara do Trabalho de Brasília/DF</t>
  </si>
  <si>
    <t>22ª Vara do Trabalho de Brasília/DF</t>
  </si>
  <si>
    <t>1ª Vara do Trabalho de Taguatinga/DF</t>
  </si>
  <si>
    <t>2ª Vara do Trabalho de Taguatinga/DF</t>
  </si>
  <si>
    <t>3ª Vara do Trabalho de Taguatinga/DF</t>
  </si>
  <si>
    <t>4ª Vara do Trabalho de Taguatinga/DF</t>
  </si>
  <si>
    <t>5ª Vara do Trabalho de Taguatinga/DF</t>
  </si>
  <si>
    <t>Vara do Trabalho do Gama/DF</t>
  </si>
  <si>
    <t>1ª Vara do Trabalho de Araguaína/TO</t>
  </si>
  <si>
    <t>2ª Vara do Trabalho de Araguaína/TO</t>
  </si>
  <si>
    <t>1ª Vara do Trabalho de Palmas/TO</t>
  </si>
  <si>
    <t>2ª Vara do Trabalho de Palmas/TO</t>
  </si>
  <si>
    <t>Vara do Trabalho de Dianópolis/TO</t>
  </si>
  <si>
    <t>Vara do Trabalho de Guaraí/TO</t>
  </si>
  <si>
    <t>Vara do Trabalho de Gurupi/TO</t>
  </si>
  <si>
    <r>
      <t>Nota 1</t>
    </r>
    <r>
      <rPr>
        <sz val="11"/>
        <color indexed="8"/>
        <rFont val="Calibri"/>
        <family val="2"/>
        <charset val="1"/>
      </rPr>
      <t>: A coluna denomida "</t>
    </r>
    <r>
      <rPr>
        <b/>
        <sz val="11"/>
        <color indexed="8"/>
        <rFont val="Calibri"/>
        <family val="2"/>
      </rPr>
      <t>excluídas</t>
    </r>
    <r>
      <rPr>
        <sz val="11"/>
        <color indexed="8"/>
        <rFont val="Calibri"/>
        <family val="2"/>
        <charset val="1"/>
      </rPr>
      <t>" está considerando a exclusão de 1 FC4 (Calculistas) das Varas do Trabalho, exceto das Varas do Trabalho de Dianópolis, Guaraí e Gurupi/TO. Além disso está excluindo todos os CJ/FC das novas Varas do Trabalho a serem implantadas.</t>
    </r>
  </si>
  <si>
    <t>TABELA E (...continuação)</t>
  </si>
  <si>
    <r>
      <t>Nota 2</t>
    </r>
    <r>
      <rPr>
        <sz val="11"/>
        <color indexed="8"/>
        <rFont val="Calibri"/>
        <family val="2"/>
        <charset val="1"/>
      </rPr>
      <t>: Nas Varas do Trabalho atuais de Brasília (21), Gama (1) e Araguaína (2), foram destinadas 2 FC1 excedentes e 2 FC1 transitórias para cada VT.</t>
    </r>
  </si>
  <si>
    <t>SITUAÇÃO COM AS NOVAS VARAS DO TRABALHO</t>
  </si>
  <si>
    <r>
      <t>Nota 3</t>
    </r>
    <r>
      <rPr>
        <sz val="11"/>
        <color indexed="8"/>
        <rFont val="Calibri"/>
        <family val="2"/>
        <charset val="1"/>
      </rPr>
      <t>: Nas Varas do Trabalho de Taguatinga (3) foram destinadas 3 FC1 excedentes 1 FC1 transitória para cada VT.</t>
    </r>
  </si>
  <si>
    <t>FUNÇÕES COMISSIONADAS E CJ</t>
  </si>
  <si>
    <r>
      <t>Nota 4</t>
    </r>
    <r>
      <rPr>
        <sz val="11"/>
        <color indexed="8"/>
        <rFont val="Calibri"/>
        <family val="2"/>
        <charset val="1"/>
      </rPr>
      <t>: Nas Varas do Trabalho de Palmas (2), Dianópolis e Guaraí, foram destinadas 2 FC1 excedentes e 1 FC1 transitória para cada VT.</t>
    </r>
  </si>
  <si>
    <r>
      <t>Nota 5</t>
    </r>
    <r>
      <rPr>
        <sz val="11"/>
        <color indexed="8"/>
        <rFont val="Calibri"/>
        <family val="2"/>
        <charset val="1"/>
      </rPr>
      <t>: Na Vara do Trabalho de Gurupi foram destinadas 1 FC1 excedente e 2 FC1 transitórias.</t>
    </r>
  </si>
  <si>
    <r>
      <t>Nota 6</t>
    </r>
    <r>
      <rPr>
        <sz val="11"/>
        <color indexed="8"/>
        <rFont val="Calibri"/>
        <family val="2"/>
        <charset val="1"/>
      </rPr>
      <t>: Nas novas Varas do Trabalho (22ª VT/BSB-DF, 4ª e 5ª VT/Taguatinga-DF) não haverá distribuição de funções exdentes.</t>
    </r>
  </si>
  <si>
    <t>CENTRAL DE CÁLCULOS DO DF</t>
  </si>
  <si>
    <t>CENTRAL DE CÁLCULOS DE PALMAS/TO</t>
  </si>
  <si>
    <t>UNIDADE JUDICIÁRIA</t>
  </si>
  <si>
    <t>CENTRAL DE CÁLCULOS DE ARAGUAÍNA/TO</t>
  </si>
  <si>
    <t>VARAS DO TRABALHO DF/TO - FUNÇÕES EXCEDENTES (FC1)</t>
  </si>
  <si>
    <t>ÁREA ADMINISTRATIVA</t>
  </si>
  <si>
    <t>ÁREA DE APOIO JUDICIÁRIO - FUNÇÕES EXCEDENTES (FC1)</t>
  </si>
  <si>
    <t>ÁREA DE APOIO JUDICIÁRIO</t>
  </si>
  <si>
    <t>ÁREA DE APOIO ADMINISTRATIVO - FUNÇÕES EXCEDENTES (FC1)</t>
  </si>
  <si>
    <t>VARAS DO TRABALHO - FUNÇÕES TRANSITÓRIAS (FC1)</t>
  </si>
  <si>
    <t>FUNÇÕES EXCEDENTES</t>
  </si>
  <si>
    <t>GABINETE DA PRESIDÊNCIA - FUNÇÕES TRANSITÓRIAS (FC1)</t>
  </si>
  <si>
    <t>FUNÇÕES TRANSITÓRIAS</t>
  </si>
  <si>
    <t>UNIDADES</t>
  </si>
  <si>
    <t>SITUAÇÃO SEM AS NOVAS VARAS DO TRABALHO</t>
  </si>
  <si>
    <t>TABELA F</t>
  </si>
  <si>
    <t>LOTAÇÃO MAXIMA DE SERVIDORES - VARAS DO TRABALHO (COM 35 VT)</t>
  </si>
  <si>
    <t>OBSERVANDO OS PARÂMETROS DAS RESOLUÇÕES 63/CSJT E 61/TRT</t>
  </si>
  <si>
    <t>(NA LOTAÇÃO DAS VARAS DO TRABALHO FORAM CONSIDERADOS OS CARGOS DE CALCULISTAS QUE COMPÕEM A ÁREA DE CÁLCULOS)</t>
  </si>
  <si>
    <t>MOVIMENTAÇÃO PROCESSUAL - FASE DE CONHECIMENTO</t>
  </si>
  <si>
    <t>LOTAÇÃO</t>
  </si>
  <si>
    <t>TOTAL MÁXIMO</t>
  </si>
  <si>
    <t>QUANTIDADE DE VT</t>
  </si>
  <si>
    <t>MÉDIA ANUAL</t>
  </si>
  <si>
    <t>MÉDIA VT</t>
  </si>
  <si>
    <t>MÁXIMA SERVIDORES</t>
  </si>
  <si>
    <t>CARGOS POR LOCALIDADE</t>
  </si>
  <si>
    <t>FUNÇÕES POR LOCALIDADE</t>
  </si>
  <si>
    <t>BRASÍLIA</t>
  </si>
  <si>
    <t>TAGUATINGA</t>
  </si>
  <si>
    <t>GAMA</t>
  </si>
  <si>
    <t>ARAGUAÍNA</t>
  </si>
  <si>
    <t>PALMAS</t>
  </si>
  <si>
    <t>GURUPI</t>
  </si>
  <si>
    <t>DIANÓPOLIS</t>
  </si>
  <si>
    <t>GUARAÍ</t>
  </si>
  <si>
    <t>GAB. DESEMBARGADORES</t>
  </si>
  <si>
    <t>TOTAL DE CARGOS E FUNÇÕES COMISSIONADAS NAS VARAS DO TRABALHO E GABINETES DE DESEMBARGADORES</t>
  </si>
  <si>
    <t>QUANTIDADE DE FUNÇÕES COMISSIONADAS OBSERVANDO O LIMITE 70% (RA 63/CSJT) DOS CARGOS EFETIVOS</t>
  </si>
  <si>
    <t>QUANTIDADES DE CARGOS E FUNÇÕES QUE RESTARÃO APÓS A RESERVA PARA AS VARAS DO TRABALHO E GABINETES DE DESEMBARGADORES</t>
  </si>
  <si>
    <t>SOBRA DE FUN</t>
  </si>
  <si>
    <t>A</t>
  </si>
  <si>
    <t>B</t>
  </si>
  <si>
    <t>C=A-B</t>
  </si>
  <si>
    <t>D</t>
  </si>
  <si>
    <t>E=C+D</t>
  </si>
  <si>
    <t>CALC</t>
  </si>
  <si>
    <t>SOBRA</t>
  </si>
  <si>
    <t>TOTAL FC</t>
  </si>
  <si>
    <t>VOLTA</t>
  </si>
  <si>
    <t>TABELA G</t>
  </si>
  <si>
    <t>DEMONSTRATIVO DA REDUÇÃO DAS FUNÇÕES COMISSIONADAS E RECOMPOSIÇÃO COM O SALDO EXCEDENTE APÓS A APLICAÇÃO DA RA 63/CSJT</t>
  </si>
  <si>
    <t>UNIDADES DE APOIO JUDICIÁRIO</t>
  </si>
  <si>
    <t>RECOMPOSIÇÃO</t>
  </si>
  <si>
    <t>COM FC</t>
  </si>
  <si>
    <t>EXCEDENTES</t>
  </si>
  <si>
    <t>NUCLEO DE APOIO AO FORO TRABALHISTA ARAGUAINA (FORO TRABALHISTA DE ARAGUAINA) - FTARA</t>
  </si>
  <si>
    <t>TOTAL APOIO JUDICIÁRIO</t>
  </si>
  <si>
    <t>NÚCLEO DE COMUNICAÇÃO SOCIAL</t>
  </si>
  <si>
    <t>COORDENADORIA DE SUPORTE</t>
  </si>
  <si>
    <t>COORDENADORIA TÉCNICA DA ESCOLA JUDICIAL</t>
  </si>
  <si>
    <t>DIRETORIA-GERAL</t>
  </si>
  <si>
    <t>COORDENADORIA DE SERVIÇOS GERAIS</t>
  </si>
  <si>
    <t>NÚCLEO DE PROJETOS</t>
  </si>
  <si>
    <t>NÚCLEO DE LOGISTICA</t>
  </si>
  <si>
    <t>SECRETARIA DE ORÇAMENTO E FINANÇAS</t>
  </si>
  <si>
    <t>SECRETARIA DE GESTÃO DE PESSOAS</t>
  </si>
  <si>
    <t>NÚCLEO DE DESENVOLVIMENTO</t>
  </si>
  <si>
    <t>NÚCLEO DE SAÚDE</t>
  </si>
  <si>
    <t>COORDENADORIA DE PESSOAS</t>
  </si>
  <si>
    <t>NÚCLEO DE PAGAMENTO DE PESSOAL</t>
  </si>
  <si>
    <t>TOTAL APOIO ADMINISTRATIVO</t>
  </si>
  <si>
    <t>TOTAL ÁREA ADMINISTRATIVA</t>
  </si>
  <si>
    <t>ÁREA DE APOIO JUDICIÁRIO E APOIO ADMINISTRATIVO - EXCEDENTES</t>
  </si>
  <si>
    <t>TOTAL DAS FUNÇÕES COMISSIONADAS REDUZIDAS DA ÁREA ADMINISTRATIVA</t>
  </si>
  <si>
    <t>SALDO REMANESCENTE APÓS ADEQUAÇÃO À RA 63/CSJT</t>
  </si>
  <si>
    <t>SALDO REMANESCENTE APÓS A RECOMPOSIÇÃO ACIMA</t>
  </si>
  <si>
    <t>VARAS DO TRABALHO DO DISTRITO FEDERAL E TOCANTINS - EXCEDENTES</t>
  </si>
  <si>
    <t>VARAS DO TRABALHO DO DISTRITO FEDERAL E TOCANTINS - TRANSITÓRIAS</t>
  </si>
  <si>
    <t>SALDO REMANESCENTE APÓS A DISTRIBUIÇÃO DE 2 FC1 EM CADA VARA DO TRABALHO</t>
  </si>
  <si>
    <t>BRASÍLIA-DF, 07 DE DEZEMBRO DE 2012</t>
  </si>
  <si>
    <t>TABELA H</t>
  </si>
  <si>
    <t>REPRESENTATIVIDADE EM TERMOS PORCENTUAIS SEM CONSIDERAR AS FC EXCEDENTES</t>
  </si>
  <si>
    <t>SITUAÇÃO PROPOSTA</t>
  </si>
  <si>
    <t>PORCENTUAL</t>
  </si>
  <si>
    <t>GABINETE DE DESEMBARGADORES</t>
  </si>
  <si>
    <t>REPRESENTATIVIDADE EM TERMOS PORCENTUAIS CONSIDERANDO AS FC EXCEDENTES</t>
  </si>
  <si>
    <t>LIMITE RA 63</t>
  </si>
  <si>
    <t>REPRESENTATIVIDADE EM TERMOS PORCENTUAIS CONSIDERANDO AS FC EXCEDENTES E FC TRANSITÓRIAS</t>
  </si>
  <si>
    <t>EXCED/TRANSIT</t>
  </si>
  <si>
    <t>REPRESENTATIVIDADE CADA ÁREA EM RELAÇÃO ÀS FC EXCEDENTES</t>
  </si>
  <si>
    <t>REPRESENTATIVIDADE DE CADA ÁREA EM RELAÇÃO AS FC EXCEDENTES E TRANSITÓRIAS</t>
  </si>
  <si>
    <t>EXCED/TRANS</t>
  </si>
  <si>
    <t>Brasília-DF, 07 de dezembro de 2012.</t>
  </si>
  <si>
    <t>TABELA I</t>
  </si>
  <si>
    <t>REPERCUSSÃO FINANCEIRA SEM UM CALCULISTA</t>
  </si>
  <si>
    <t>22ª VARA DO TRABALHO DE BRASÍLIA/DF</t>
  </si>
  <si>
    <t>PARÂMETRO RA 63</t>
  </si>
  <si>
    <t>EXCLUSÃO</t>
  </si>
  <si>
    <t>LOTAÇÃO FINAL</t>
  </si>
  <si>
    <t>4ª E 5ª VARAS DO TRABALHO DE TAGUATINGA-DF</t>
  </si>
  <si>
    <t>QUANTIDADE NOVAS VARAS DO TRABALHO</t>
  </si>
  <si>
    <t>TOTAL DA REPERCUSSÃO FINANCEIRA</t>
  </si>
  <si>
    <t>VALOR UNITÁRIO DA FUNÇÃO COMISSIONADA TIPO FC1</t>
  </si>
  <si>
    <t>QUANTIDADE DE FUNÇÕES COMISSONADAS TIPO FC1 POSSÍVEIS DE SEREM CRIADAS</t>
  </si>
  <si>
    <t>BRASÍLIA-DF, 07 DE DEZEMBRO DE 2012.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</si>
</sst>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_-* #,##0.00_-;\-* #,##0.00_-;_-* \-??_-;_-@_-"/>
    <numFmt numFmtId="166" formatCode="#,##0.0;\-#,##0.0"/>
    <numFmt numFmtId="167" formatCode="#,##0.00000"/>
  </numFmts>
  <fonts count="2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57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57"/>
      <name val="Calibri"/>
      <family val="2"/>
      <charset val="1"/>
    </font>
    <font>
      <b/>
      <sz val="12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color indexed="8"/>
      <name val="Calibri"/>
      <family val="2"/>
    </font>
    <font>
      <sz val="12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6"/>
      <color indexed="10"/>
      <name val="Calibri"/>
      <family val="2"/>
      <charset val="1"/>
    </font>
    <font>
      <u/>
      <sz val="11"/>
      <color indexed="8"/>
      <name val="Calibri"/>
      <family val="2"/>
      <charset val="1"/>
    </font>
    <font>
      <b/>
      <u/>
      <sz val="11"/>
      <color indexed="8"/>
      <name val="Calibri"/>
      <family val="2"/>
      <charset val="1"/>
    </font>
    <font>
      <b/>
      <sz val="11"/>
      <name val="Calibri"/>
      <family val="2"/>
      <charset val="1"/>
    </font>
    <font>
      <b/>
      <sz val="14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indexed="45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7"/>
        <bgColor indexed="45"/>
      </patternFill>
    </fill>
    <fill>
      <patternFill patternType="solid">
        <fgColor indexed="51"/>
        <bgColor indexed="52"/>
      </patternFill>
    </fill>
    <fill>
      <patternFill patternType="solid">
        <fgColor indexed="50"/>
        <bgColor indexed="43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42"/>
      </patternFill>
    </fill>
    <fill>
      <patternFill patternType="solid">
        <fgColor indexed="24"/>
        <bgColor indexed="55"/>
      </patternFill>
    </fill>
    <fill>
      <patternFill patternType="solid">
        <fgColor indexed="34"/>
        <bgColor indexed="50"/>
      </patternFill>
    </fill>
    <fill>
      <patternFill patternType="solid">
        <fgColor indexed="57"/>
        <bgColor indexed="21"/>
      </patternFill>
    </fill>
    <fill>
      <patternFill patternType="solid">
        <fgColor indexed="43"/>
        <bgColor indexed="42"/>
      </patternFill>
    </fill>
    <fill>
      <patternFill patternType="solid">
        <fgColor indexed="55"/>
        <bgColor indexed="24"/>
      </patternFill>
    </fill>
    <fill>
      <patternFill patternType="solid">
        <fgColor indexed="31"/>
        <bgColor indexed="44"/>
      </patternFill>
    </fill>
    <fill>
      <patternFill patternType="solid">
        <fgColor indexed="26"/>
        <bgColor indexed="41"/>
      </patternFill>
    </fill>
    <fill>
      <patternFill patternType="solid">
        <fgColor indexed="2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11"/>
        <bgColor indexed="34"/>
      </patternFill>
    </fill>
    <fill>
      <patternFill patternType="solid">
        <fgColor indexed="9"/>
        <bgColor indexed="27"/>
      </patternFill>
    </fill>
    <fill>
      <patternFill patternType="solid">
        <fgColor indexed="29"/>
        <bgColor indexed="45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496">
    <xf numFmtId="0" fontId="0" fillId="0" borderId="0" xfId="0"/>
    <xf numFmtId="0" fontId="1" fillId="0" borderId="0" xfId="2"/>
    <xf numFmtId="0" fontId="2" fillId="0" borderId="0" xfId="2" applyFont="1"/>
    <xf numFmtId="0" fontId="4" fillId="0" borderId="0" xfId="2" applyFont="1"/>
    <xf numFmtId="0" fontId="1" fillId="0" borderId="2" xfId="2" applyBorder="1"/>
    <xf numFmtId="0" fontId="1" fillId="3" borderId="3" xfId="2" applyFont="1" applyFill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0" fontId="1" fillId="0" borderId="3" xfId="2" applyFont="1" applyBorder="1" applyAlignment="1">
      <alignment vertical="center"/>
    </xf>
    <xf numFmtId="0" fontId="1" fillId="0" borderId="3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vertical="center"/>
    </xf>
    <xf numFmtId="0" fontId="1" fillId="0" borderId="6" xfId="2" applyBorder="1" applyAlignment="1">
      <alignment horizontal="center" vertical="center" wrapText="1"/>
    </xf>
    <xf numFmtId="0" fontId="1" fillId="0" borderId="0" xfId="2" applyBorder="1"/>
    <xf numFmtId="0" fontId="1" fillId="0" borderId="6" xfId="2" applyBorder="1" applyAlignment="1">
      <alignment horizontal="center" vertical="center"/>
    </xf>
    <xf numFmtId="0" fontId="1" fillId="0" borderId="8" xfId="2" applyBorder="1"/>
    <xf numFmtId="0" fontId="1" fillId="0" borderId="9" xfId="2" applyBorder="1" applyAlignment="1">
      <alignment horizontal="center" wrapText="1"/>
    </xf>
    <xf numFmtId="0" fontId="1" fillId="0" borderId="4" xfId="2" applyBorder="1" applyAlignment="1">
      <alignment vertical="center"/>
    </xf>
    <xf numFmtId="0" fontId="1" fillId="0" borderId="4" xfId="2" applyBorder="1" applyAlignment="1">
      <alignment horizontal="center" wrapText="1"/>
    </xf>
    <xf numFmtId="0" fontId="1" fillId="0" borderId="0" xfId="2" applyBorder="1" applyAlignment="1">
      <alignment horizontal="center" vertical="center"/>
    </xf>
    <xf numFmtId="0" fontId="1" fillId="0" borderId="0" xfId="2" applyBorder="1" applyAlignment="1">
      <alignment horizontal="center" vertical="center" wrapText="1"/>
    </xf>
    <xf numFmtId="0" fontId="1" fillId="0" borderId="1" xfId="2" applyFont="1" applyBorder="1" applyAlignment="1">
      <alignment horizontal="left"/>
    </xf>
    <xf numFmtId="0" fontId="1" fillId="0" borderId="3" xfId="2" applyFont="1" applyBorder="1" applyAlignment="1">
      <alignment horizontal="center"/>
    </xf>
    <xf numFmtId="3" fontId="1" fillId="0" borderId="4" xfId="2" applyNumberFormat="1" applyBorder="1" applyAlignment="1">
      <alignment horizontal="center"/>
    </xf>
    <xf numFmtId="164" fontId="1" fillId="0" borderId="4" xfId="1" applyFont="1" applyBorder="1" applyAlignment="1" applyProtection="1">
      <alignment horizontal="right"/>
    </xf>
    <xf numFmtId="0" fontId="1" fillId="0" borderId="1" xfId="2" applyBorder="1"/>
    <xf numFmtId="3" fontId="1" fillId="4" borderId="4" xfId="2" applyNumberFormat="1" applyFill="1" applyBorder="1" applyAlignment="1">
      <alignment horizontal="center"/>
    </xf>
    <xf numFmtId="0" fontId="1" fillId="5" borderId="3" xfId="2" applyFont="1" applyFill="1" applyBorder="1" applyAlignment="1">
      <alignment horizontal="center"/>
    </xf>
    <xf numFmtId="3" fontId="1" fillId="6" borderId="3" xfId="2" applyNumberFormat="1" applyFill="1" applyBorder="1" applyAlignment="1">
      <alignment horizontal="center"/>
    </xf>
    <xf numFmtId="164" fontId="1" fillId="0" borderId="5" xfId="2" applyNumberFormat="1" applyBorder="1"/>
    <xf numFmtId="0" fontId="1" fillId="0" borderId="6" xfId="2" applyBorder="1"/>
    <xf numFmtId="0" fontId="1" fillId="0" borderId="10" xfId="2" applyBorder="1"/>
    <xf numFmtId="0" fontId="1" fillId="0" borderId="2" xfId="2" applyFont="1" applyBorder="1" applyAlignment="1">
      <alignment horizontal="left"/>
    </xf>
    <xf numFmtId="3" fontId="1" fillId="0" borderId="3" xfId="2" applyNumberFormat="1" applyBorder="1" applyAlignment="1">
      <alignment horizontal="center"/>
    </xf>
    <xf numFmtId="164" fontId="1" fillId="0" borderId="3" xfId="1" applyFont="1" applyBorder="1" applyAlignment="1" applyProtection="1">
      <alignment horizontal="right"/>
    </xf>
    <xf numFmtId="3" fontId="1" fillId="4" borderId="3" xfId="2" applyNumberFormat="1" applyFill="1" applyBorder="1" applyAlignment="1">
      <alignment horizontal="center"/>
    </xf>
    <xf numFmtId="3" fontId="1" fillId="6" borderId="4" xfId="2" applyNumberFormat="1" applyFill="1" applyBorder="1" applyAlignment="1">
      <alignment horizontal="center"/>
    </xf>
    <xf numFmtId="164" fontId="1" fillId="0" borderId="11" xfId="2" applyNumberFormat="1" applyBorder="1"/>
    <xf numFmtId="0" fontId="1" fillId="0" borderId="12" xfId="2" applyBorder="1"/>
    <xf numFmtId="0" fontId="1" fillId="0" borderId="4" xfId="2" applyBorder="1" applyAlignment="1">
      <alignment horizontal="center"/>
    </xf>
    <xf numFmtId="164" fontId="1" fillId="0" borderId="3" xfId="1" applyFont="1" applyBorder="1" applyAlignment="1" applyProtection="1"/>
    <xf numFmtId="0" fontId="1" fillId="0" borderId="4" xfId="2" applyBorder="1" applyAlignment="1">
      <alignment horizontal="left"/>
    </xf>
    <xf numFmtId="49" fontId="1" fillId="0" borderId="7" xfId="2" applyNumberFormat="1" applyBorder="1"/>
    <xf numFmtId="0" fontId="1" fillId="0" borderId="9" xfId="2" applyBorder="1"/>
    <xf numFmtId="0" fontId="1" fillId="0" borderId="0" xfId="2" applyBorder="1" applyAlignment="1">
      <alignment horizontal="center"/>
    </xf>
    <xf numFmtId="0" fontId="1" fillId="0" borderId="6" xfId="2" applyBorder="1" applyAlignment="1">
      <alignment horizontal="center"/>
    </xf>
    <xf numFmtId="3" fontId="1" fillId="0" borderId="6" xfId="2" applyNumberFormat="1" applyBorder="1" applyAlignment="1">
      <alignment horizontal="center"/>
    </xf>
    <xf numFmtId="164" fontId="1" fillId="0" borderId="6" xfId="1" applyFont="1" applyBorder="1" applyAlignment="1" applyProtection="1"/>
    <xf numFmtId="164" fontId="1" fillId="0" borderId="0" xfId="1" applyFont="1" applyBorder="1" applyAlignment="1" applyProtection="1">
      <alignment horizontal="right"/>
    </xf>
    <xf numFmtId="3" fontId="1" fillId="0" borderId="0" xfId="2" applyNumberFormat="1" applyBorder="1" applyAlignment="1">
      <alignment horizontal="center"/>
    </xf>
    <xf numFmtId="164" fontId="1" fillId="0" borderId="0" xfId="1" applyFont="1" applyBorder="1" applyAlignment="1" applyProtection="1"/>
    <xf numFmtId="0" fontId="1" fillId="0" borderId="0" xfId="2" applyBorder="1" applyAlignment="1">
      <alignment horizontal="left"/>
    </xf>
    <xf numFmtId="164" fontId="1" fillId="0" borderId="0" xfId="2" applyNumberFormat="1" applyBorder="1"/>
    <xf numFmtId="4" fontId="1" fillId="0" borderId="4" xfId="2" applyNumberFormat="1" applyBorder="1"/>
    <xf numFmtId="164" fontId="1" fillId="0" borderId="0" xfId="2" applyNumberFormat="1"/>
    <xf numFmtId="0" fontId="1" fillId="7" borderId="3" xfId="2" applyFont="1" applyFill="1" applyBorder="1" applyAlignment="1">
      <alignment horizontal="center"/>
    </xf>
    <xf numFmtId="3" fontId="1" fillId="4" borderId="3" xfId="2" applyNumberFormat="1" applyFont="1" applyFill="1" applyBorder="1" applyAlignment="1">
      <alignment horizontal="center"/>
    </xf>
    <xf numFmtId="164" fontId="1" fillId="0" borderId="4" xfId="1" applyFont="1" applyBorder="1" applyAlignment="1" applyProtection="1"/>
    <xf numFmtId="3" fontId="1" fillId="6" borderId="3" xfId="2" applyNumberFormat="1" applyFont="1" applyFill="1" applyBorder="1" applyAlignment="1">
      <alignment horizontal="center"/>
    </xf>
    <xf numFmtId="49" fontId="1" fillId="0" borderId="5" xfId="2" applyNumberFormat="1" applyFont="1" applyBorder="1"/>
    <xf numFmtId="49" fontId="1" fillId="0" borderId="6" xfId="2" applyNumberFormat="1" applyBorder="1"/>
    <xf numFmtId="49" fontId="1" fillId="0" borderId="10" xfId="2" applyNumberFormat="1" applyBorder="1"/>
    <xf numFmtId="0" fontId="1" fillId="0" borderId="2" xfId="2" applyBorder="1" applyAlignment="1">
      <alignment horizontal="center"/>
    </xf>
    <xf numFmtId="3" fontId="1" fillId="8" borderId="3" xfId="2" applyNumberFormat="1" applyFill="1" applyBorder="1" applyAlignment="1">
      <alignment horizontal="center"/>
    </xf>
    <xf numFmtId="164" fontId="1" fillId="0" borderId="2" xfId="1" applyFont="1" applyBorder="1" applyAlignment="1" applyProtection="1">
      <alignment horizontal="right"/>
    </xf>
    <xf numFmtId="49" fontId="1" fillId="0" borderId="11" xfId="2" applyNumberFormat="1" applyFont="1" applyBorder="1"/>
    <xf numFmtId="49" fontId="1" fillId="0" borderId="0" xfId="2" applyNumberFormat="1" applyBorder="1"/>
    <xf numFmtId="49" fontId="1" fillId="0" borderId="12" xfId="2" applyNumberFormat="1" applyBorder="1"/>
    <xf numFmtId="0" fontId="1" fillId="0" borderId="4" xfId="2" applyFont="1" applyBorder="1" applyAlignment="1">
      <alignment horizontal="left"/>
    </xf>
    <xf numFmtId="49" fontId="7" fillId="0" borderId="7" xfId="2" applyNumberFormat="1" applyFont="1" applyBorder="1"/>
    <xf numFmtId="49" fontId="1" fillId="0" borderId="8" xfId="2" applyNumberFormat="1" applyBorder="1"/>
    <xf numFmtId="49" fontId="1" fillId="0" borderId="9" xfId="2" applyNumberFormat="1" applyBorder="1"/>
    <xf numFmtId="0" fontId="6" fillId="0" borderId="1" xfId="2" applyFont="1" applyBorder="1" applyAlignment="1">
      <alignment horizontal="left" wrapText="1"/>
    </xf>
    <xf numFmtId="49" fontId="7" fillId="0" borderId="11" xfId="2" applyNumberFormat="1" applyFont="1" applyBorder="1"/>
    <xf numFmtId="164" fontId="1" fillId="0" borderId="1" xfId="1" applyFont="1" applyBorder="1" applyAlignment="1" applyProtection="1"/>
    <xf numFmtId="3" fontId="1" fillId="9" borderId="3" xfId="2" applyNumberFormat="1" applyFont="1" applyFill="1" applyBorder="1" applyAlignment="1">
      <alignment horizontal="center"/>
    </xf>
    <xf numFmtId="164" fontId="1" fillId="0" borderId="4" xfId="1" applyFont="1" applyBorder="1" applyAlignment="1" applyProtection="1">
      <alignment horizontal="left"/>
    </xf>
    <xf numFmtId="49" fontId="7" fillId="0" borderId="5" xfId="2" applyNumberFormat="1" applyFont="1" applyBorder="1"/>
    <xf numFmtId="3" fontId="1" fillId="8" borderId="4" xfId="2" applyNumberFormat="1" applyFill="1" applyBorder="1" applyAlignment="1">
      <alignment horizontal="center"/>
    </xf>
    <xf numFmtId="4" fontId="1" fillId="0" borderId="3" xfId="2" applyNumberFormat="1" applyBorder="1"/>
    <xf numFmtId="3" fontId="1" fillId="9" borderId="3" xfId="2" applyNumberFormat="1" applyFill="1" applyBorder="1" applyAlignment="1">
      <alignment horizontal="center"/>
    </xf>
    <xf numFmtId="164" fontId="7" fillId="0" borderId="0" xfId="2" applyNumberFormat="1" applyFont="1" applyBorder="1"/>
    <xf numFmtId="3" fontId="1" fillId="4" borderId="1" xfId="2" applyNumberFormat="1" applyFill="1" applyBorder="1" applyAlignment="1">
      <alignment horizontal="center"/>
    </xf>
    <xf numFmtId="49" fontId="1" fillId="0" borderId="7" xfId="2" applyNumberFormat="1" applyFont="1" applyBorder="1"/>
    <xf numFmtId="164" fontId="1" fillId="0" borderId="6" xfId="2" applyNumberFormat="1" applyBorder="1"/>
    <xf numFmtId="3" fontId="1" fillId="0" borderId="1" xfId="2" applyNumberForma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7" borderId="4" xfId="2" applyFont="1" applyFill="1" applyBorder="1" applyAlignment="1">
      <alignment horizontal="center"/>
    </xf>
    <xf numFmtId="3" fontId="1" fillId="4" borderId="4" xfId="2" applyNumberFormat="1" applyFont="1" applyFill="1" applyBorder="1" applyAlignment="1">
      <alignment horizontal="center"/>
    </xf>
    <xf numFmtId="49" fontId="1" fillId="0" borderId="5" xfId="2" applyNumberFormat="1" applyBorder="1" applyAlignment="1">
      <alignment wrapText="1"/>
    </xf>
    <xf numFmtId="49" fontId="1" fillId="0" borderId="6" xfId="2" applyNumberFormat="1" applyBorder="1" applyAlignment="1">
      <alignment wrapText="1"/>
    </xf>
    <xf numFmtId="49" fontId="1" fillId="0" borderId="10" xfId="2" applyNumberFormat="1" applyBorder="1" applyAlignment="1">
      <alignment wrapText="1"/>
    </xf>
    <xf numFmtId="3" fontId="1" fillId="4" borderId="2" xfId="2" applyNumberFormat="1" applyFont="1" applyFill="1" applyBorder="1" applyAlignment="1">
      <alignment horizontal="center"/>
    </xf>
    <xf numFmtId="49" fontId="1" fillId="0" borderId="11" xfId="2" applyNumberFormat="1" applyBorder="1" applyAlignment="1">
      <alignment wrapText="1"/>
    </xf>
    <xf numFmtId="49" fontId="1" fillId="0" borderId="0" xfId="2" applyNumberFormat="1" applyBorder="1" applyAlignment="1">
      <alignment wrapText="1"/>
    </xf>
    <xf numFmtId="49" fontId="1" fillId="0" borderId="12" xfId="2" applyNumberFormat="1" applyBorder="1" applyAlignment="1">
      <alignment wrapText="1"/>
    </xf>
    <xf numFmtId="0" fontId="1" fillId="0" borderId="0" xfId="2" applyBorder="1" applyAlignment="1"/>
    <xf numFmtId="4" fontId="1" fillId="0" borderId="2" xfId="2" applyNumberFormat="1" applyBorder="1"/>
    <xf numFmtId="4" fontId="1" fillId="0" borderId="11" xfId="2" applyNumberFormat="1" applyBorder="1"/>
    <xf numFmtId="0" fontId="1" fillId="0" borderId="4" xfId="1" applyNumberFormat="1" applyFont="1" applyBorder="1" applyAlignment="1" applyProtection="1">
      <alignment horizontal="right"/>
    </xf>
    <xf numFmtId="0" fontId="1" fillId="0" borderId="3" xfId="1" applyNumberFormat="1" applyFont="1" applyBorder="1" applyAlignment="1" applyProtection="1">
      <alignment horizontal="right"/>
    </xf>
    <xf numFmtId="0" fontId="1" fillId="10" borderId="3" xfId="2" applyFont="1" applyFill="1" applyBorder="1" applyAlignment="1">
      <alignment horizontal="center"/>
    </xf>
    <xf numFmtId="0" fontId="1" fillId="0" borderId="2" xfId="2" applyFont="1" applyBorder="1" applyAlignment="1">
      <alignment wrapText="1"/>
    </xf>
    <xf numFmtId="3" fontId="1" fillId="0" borderId="3" xfId="2" applyNumberFormat="1" applyFont="1" applyBorder="1" applyAlignment="1">
      <alignment horizontal="center"/>
    </xf>
    <xf numFmtId="0" fontId="1" fillId="0" borderId="0" xfId="2" applyFont="1"/>
    <xf numFmtId="3" fontId="1" fillId="11" borderId="3" xfId="2" applyNumberFormat="1" applyFill="1" applyBorder="1" applyAlignment="1">
      <alignment horizontal="center"/>
    </xf>
    <xf numFmtId="0" fontId="1" fillId="0" borderId="4" xfId="2" applyFont="1" applyBorder="1" applyAlignment="1">
      <alignment horizontal="center"/>
    </xf>
    <xf numFmtId="3" fontId="1" fillId="0" borderId="4" xfId="2" applyNumberFormat="1" applyFont="1" applyBorder="1" applyAlignment="1">
      <alignment horizontal="center"/>
    </xf>
    <xf numFmtId="0" fontId="1" fillId="0" borderId="4" xfId="2" applyFont="1" applyBorder="1"/>
    <xf numFmtId="3" fontId="1" fillId="0" borderId="1" xfId="2" applyNumberFormat="1" applyFont="1" applyBorder="1" applyAlignment="1">
      <alignment horizontal="center"/>
    </xf>
    <xf numFmtId="164" fontId="1" fillId="0" borderId="7" xfId="2" applyNumberFormat="1" applyBorder="1"/>
    <xf numFmtId="3" fontId="1" fillId="2" borderId="4" xfId="2" applyNumberFormat="1" applyFont="1" applyFill="1" applyBorder="1" applyAlignment="1">
      <alignment horizontal="center"/>
    </xf>
    <xf numFmtId="3" fontId="1" fillId="2" borderId="3" xfId="2" applyNumberFormat="1" applyFont="1" applyFill="1" applyBorder="1" applyAlignment="1">
      <alignment horizontal="center"/>
    </xf>
    <xf numFmtId="49" fontId="1" fillId="0" borderId="8" xfId="2" applyNumberFormat="1" applyBorder="1" applyAlignment="1">
      <alignment wrapText="1"/>
    </xf>
    <xf numFmtId="49" fontId="1" fillId="0" borderId="9" xfId="2" applyNumberFormat="1" applyBorder="1" applyAlignment="1">
      <alignment wrapText="1"/>
    </xf>
    <xf numFmtId="49" fontId="1" fillId="0" borderId="0" xfId="2" applyNumberFormat="1" applyBorder="1" applyAlignment="1">
      <alignment horizontal="justify" wrapText="1"/>
    </xf>
    <xf numFmtId="0" fontId="6" fillId="0" borderId="0" xfId="2" applyFont="1" applyBorder="1" applyAlignment="1">
      <alignment horizontal="left" wrapText="1"/>
    </xf>
    <xf numFmtId="3" fontId="1" fillId="8" borderId="3" xfId="2" applyNumberFormat="1" applyFont="1" applyFill="1" applyBorder="1" applyAlignment="1">
      <alignment horizontal="center"/>
    </xf>
    <xf numFmtId="0" fontId="1" fillId="0" borderId="1" xfId="2" applyFont="1" applyBorder="1"/>
    <xf numFmtId="0" fontId="1" fillId="0" borderId="11" xfId="2" applyBorder="1"/>
    <xf numFmtId="0" fontId="1" fillId="0" borderId="2" xfId="2" applyFont="1" applyBorder="1"/>
    <xf numFmtId="3" fontId="1" fillId="0" borderId="0" xfId="2" applyNumberFormat="1" applyBorder="1"/>
    <xf numFmtId="3" fontId="1" fillId="10" borderId="3" xfId="2" applyNumberFormat="1" applyFont="1" applyFill="1" applyBorder="1" applyAlignment="1">
      <alignment horizontal="center"/>
    </xf>
    <xf numFmtId="0" fontId="1" fillId="0" borderId="3" xfId="2" applyFont="1" applyBorder="1"/>
    <xf numFmtId="49" fontId="7" fillId="0" borderId="13" xfId="2" applyNumberFormat="1" applyFont="1" applyBorder="1"/>
    <xf numFmtId="0" fontId="1" fillId="0" borderId="14" xfId="2" applyBorder="1"/>
    <xf numFmtId="0" fontId="1" fillId="0" borderId="15" xfId="2" applyBorder="1"/>
    <xf numFmtId="49" fontId="1" fillId="0" borderId="11" xfId="2" applyNumberFormat="1" applyBorder="1" applyAlignment="1">
      <alignment horizontal="left"/>
    </xf>
    <xf numFmtId="0" fontId="1" fillId="0" borderId="0" xfId="2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3" fontId="1" fillId="6" borderId="0" xfId="2" applyNumberFormat="1" applyFont="1" applyFill="1" applyBorder="1" applyAlignment="1">
      <alignment horizontal="center"/>
    </xf>
    <xf numFmtId="164" fontId="1" fillId="0" borderId="15" xfId="1" applyFont="1" applyBorder="1" applyAlignment="1" applyProtection="1"/>
    <xf numFmtId="0" fontId="1" fillId="0" borderId="0" xfId="2" applyFont="1" applyBorder="1"/>
    <xf numFmtId="3" fontId="1" fillId="4" borderId="0" xfId="2" applyNumberForma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" fillId="2" borderId="1" xfId="2" applyNumberFormat="1" applyFont="1" applyFill="1" applyBorder="1" applyAlignment="1">
      <alignment horizontal="center"/>
    </xf>
    <xf numFmtId="3" fontId="5" fillId="0" borderId="16" xfId="2" applyNumberFormat="1" applyFont="1" applyBorder="1" applyAlignment="1">
      <alignment horizontal="center"/>
    </xf>
    <xf numFmtId="4" fontId="1" fillId="0" borderId="0" xfId="2" applyNumberFormat="1"/>
    <xf numFmtId="164" fontId="8" fillId="0" borderId="16" xfId="2" applyNumberFormat="1" applyFont="1" applyBorder="1"/>
    <xf numFmtId="3" fontId="5" fillId="0" borderId="17" xfId="2" applyNumberFormat="1" applyFont="1" applyBorder="1" applyAlignment="1">
      <alignment horizontal="center"/>
    </xf>
    <xf numFmtId="164" fontId="8" fillId="0" borderId="18" xfId="2" applyNumberFormat="1" applyFont="1" applyBorder="1"/>
    <xf numFmtId="3" fontId="5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0" fontId="1" fillId="0" borderId="0" xfId="2" applyAlignment="1">
      <alignment horizontal="center"/>
    </xf>
    <xf numFmtId="3" fontId="1" fillId="0" borderId="3" xfId="2" applyNumberFormat="1" applyBorder="1"/>
    <xf numFmtId="10" fontId="1" fillId="0" borderId="3" xfId="2" applyNumberFormat="1" applyBorder="1"/>
    <xf numFmtId="164" fontId="5" fillId="0" borderId="3" xfId="2" applyNumberFormat="1" applyFont="1" applyBorder="1"/>
    <xf numFmtId="0" fontId="1" fillId="0" borderId="13" xfId="2" applyFont="1" applyBorder="1"/>
    <xf numFmtId="0" fontId="1" fillId="0" borderId="14" xfId="2" applyBorder="1" applyAlignment="1">
      <alignment horizontal="center"/>
    </xf>
    <xf numFmtId="3" fontId="1" fillId="0" borderId="15" xfId="2" applyNumberFormat="1" applyBorder="1" applyAlignment="1">
      <alignment horizontal="center"/>
    </xf>
    <xf numFmtId="3" fontId="1" fillId="0" borderId="0" xfId="2" applyNumberFormat="1"/>
    <xf numFmtId="0" fontId="5" fillId="9" borderId="13" xfId="2" applyFont="1" applyFill="1" applyBorder="1"/>
    <xf numFmtId="0" fontId="1" fillId="9" borderId="14" xfId="2" applyFill="1" applyBorder="1"/>
    <xf numFmtId="0" fontId="1" fillId="9" borderId="14" xfId="2" applyFill="1" applyBorder="1" applyAlignment="1">
      <alignment horizontal="center"/>
    </xf>
    <xf numFmtId="0" fontId="1" fillId="9" borderId="0" xfId="2" applyFill="1"/>
    <xf numFmtId="3" fontId="5" fillId="9" borderId="3" xfId="2" applyNumberFormat="1" applyFont="1" applyFill="1" applyBorder="1" applyAlignment="1">
      <alignment horizontal="center"/>
    </xf>
    <xf numFmtId="0" fontId="1" fillId="0" borderId="15" xfId="2" applyBorder="1" applyAlignment="1">
      <alignment horizontal="center"/>
    </xf>
    <xf numFmtId="10" fontId="1" fillId="0" borderId="3" xfId="2" applyNumberFormat="1" applyBorder="1" applyAlignment="1">
      <alignment horizontal="center"/>
    </xf>
    <xf numFmtId="9" fontId="1" fillId="0" borderId="15" xfId="2" applyNumberFormat="1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8" fillId="0" borderId="0" xfId="2" applyFont="1"/>
    <xf numFmtId="0" fontId="5" fillId="0" borderId="0" xfId="2" applyFont="1"/>
    <xf numFmtId="0" fontId="1" fillId="0" borderId="3" xfId="2" applyFont="1" applyBorder="1" applyAlignment="1">
      <alignment horizontal="center" vertical="center" wrapText="1"/>
    </xf>
    <xf numFmtId="0" fontId="4" fillId="0" borderId="6" xfId="2" applyFont="1" applyBorder="1"/>
    <xf numFmtId="0" fontId="1" fillId="0" borderId="6" xfId="2" applyFont="1" applyBorder="1"/>
    <xf numFmtId="0" fontId="1" fillId="0" borderId="8" xfId="2" applyFont="1" applyBorder="1" applyAlignment="1">
      <alignment horizontal="center" wrapText="1"/>
    </xf>
    <xf numFmtId="0" fontId="1" fillId="0" borderId="8" xfId="2" applyFont="1" applyBorder="1" applyAlignment="1">
      <alignment vertical="center"/>
    </xf>
    <xf numFmtId="0" fontId="5" fillId="2" borderId="8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wrapText="1"/>
    </xf>
    <xf numFmtId="4" fontId="1" fillId="0" borderId="3" xfId="2" applyNumberFormat="1" applyFont="1" applyBorder="1"/>
    <xf numFmtId="3" fontId="1" fillId="0" borderId="6" xfId="2" applyNumberFormat="1" applyFont="1" applyBorder="1" applyAlignment="1">
      <alignment horizontal="center"/>
    </xf>
    <xf numFmtId="4" fontId="1" fillId="0" borderId="6" xfId="2" applyNumberFormat="1" applyFont="1" applyBorder="1"/>
    <xf numFmtId="0" fontId="9" fillId="0" borderId="0" xfId="2" applyFont="1" applyBorder="1" applyAlignment="1">
      <alignment horizontal="left"/>
    </xf>
    <xf numFmtId="4" fontId="1" fillId="0" borderId="8" xfId="2" applyNumberFormat="1" applyFont="1" applyBorder="1"/>
    <xf numFmtId="0" fontId="1" fillId="0" borderId="3" xfId="2" applyFont="1" applyBorder="1" applyAlignment="1">
      <alignment horizontal="left"/>
    </xf>
    <xf numFmtId="0" fontId="1" fillId="0" borderId="2" xfId="2" applyFont="1" applyBorder="1" applyAlignment="1">
      <alignment horizontal="center"/>
    </xf>
    <xf numFmtId="3" fontId="1" fillId="0" borderId="2" xfId="2" applyNumberFormat="1" applyFont="1" applyBorder="1" applyAlignment="1">
      <alignment horizontal="center"/>
    </xf>
    <xf numFmtId="164" fontId="1" fillId="0" borderId="2" xfId="1" applyFont="1" applyBorder="1" applyAlignment="1" applyProtection="1"/>
    <xf numFmtId="0" fontId="1" fillId="0" borderId="5" xfId="2" applyBorder="1"/>
    <xf numFmtId="4" fontId="1" fillId="0" borderId="2" xfId="2" applyNumberFormat="1" applyFont="1" applyBorder="1"/>
    <xf numFmtId="0" fontId="1" fillId="0" borderId="7" xfId="2" applyBorder="1"/>
    <xf numFmtId="4" fontId="1" fillId="0" borderId="0" xfId="2" applyNumberFormat="1" applyFont="1" applyBorder="1"/>
    <xf numFmtId="3" fontId="1" fillId="10" borderId="3" xfId="2" applyNumberFormat="1" applyFill="1" applyBorder="1" applyAlignment="1">
      <alignment horizontal="center"/>
    </xf>
    <xf numFmtId="0" fontId="7" fillId="0" borderId="13" xfId="2" applyFont="1" applyBorder="1"/>
    <xf numFmtId="49" fontId="1" fillId="0" borderId="1" xfId="2" applyNumberFormat="1" applyFont="1" applyBorder="1" applyAlignment="1">
      <alignment horizontal="left"/>
    </xf>
    <xf numFmtId="49" fontId="1" fillId="0" borderId="2" xfId="2" applyNumberFormat="1" applyFont="1" applyBorder="1" applyAlignment="1">
      <alignment horizontal="left"/>
    </xf>
    <xf numFmtId="3" fontId="1" fillId="11" borderId="3" xfId="2" applyNumberFormat="1" applyFont="1" applyFill="1" applyBorder="1" applyAlignment="1">
      <alignment horizontal="center"/>
    </xf>
    <xf numFmtId="49" fontId="1" fillId="0" borderId="4" xfId="2" applyNumberFormat="1" applyFont="1" applyBorder="1" applyAlignment="1">
      <alignment horizontal="left"/>
    </xf>
    <xf numFmtId="4" fontId="1" fillId="0" borderId="0" xfId="2" applyNumberFormat="1" applyBorder="1"/>
    <xf numFmtId="165" fontId="1" fillId="0" borderId="0" xfId="2" applyNumberFormat="1"/>
    <xf numFmtId="0" fontId="1" fillId="0" borderId="11" xfId="2" applyBorder="1" applyAlignment="1">
      <alignment horizontal="left" wrapText="1"/>
    </xf>
    <xf numFmtId="0" fontId="1" fillId="0" borderId="0" xfId="2" applyBorder="1" applyAlignment="1">
      <alignment horizontal="left" wrapText="1"/>
    </xf>
    <xf numFmtId="0" fontId="1" fillId="0" borderId="12" xfId="2" applyBorder="1" applyAlignment="1">
      <alignment horizontal="left" wrapText="1"/>
    </xf>
    <xf numFmtId="164" fontId="1" fillId="0" borderId="12" xfId="1" applyFont="1" applyBorder="1" applyAlignment="1" applyProtection="1"/>
    <xf numFmtId="164" fontId="1" fillId="0" borderId="8" xfId="1" applyFont="1" applyBorder="1" applyAlignment="1" applyProtection="1"/>
    <xf numFmtId="164" fontId="1" fillId="0" borderId="9" xfId="1" applyFont="1" applyBorder="1" applyAlignment="1" applyProtection="1"/>
    <xf numFmtId="0" fontId="1" fillId="0" borderId="5" xfId="2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0" xfId="2" applyBorder="1" applyAlignment="1">
      <alignment vertical="top" wrapText="1"/>
    </xf>
    <xf numFmtId="0" fontId="1" fillId="0" borderId="11" xfId="2" applyBorder="1" applyAlignment="1">
      <alignment vertical="top" wrapText="1"/>
    </xf>
    <xf numFmtId="0" fontId="1" fillId="0" borderId="0" xfId="2" applyBorder="1" applyAlignment="1">
      <alignment vertical="top" wrapText="1"/>
    </xf>
    <xf numFmtId="0" fontId="1" fillId="0" borderId="12" xfId="2" applyBorder="1" applyAlignment="1">
      <alignment vertical="top" wrapText="1"/>
    </xf>
    <xf numFmtId="0" fontId="1" fillId="0" borderId="11" xfId="2" applyBorder="1" applyAlignment="1">
      <alignment wrapText="1"/>
    </xf>
    <xf numFmtId="0" fontId="1" fillId="0" borderId="0" xfId="2" applyBorder="1" applyAlignment="1">
      <alignment wrapText="1"/>
    </xf>
    <xf numFmtId="0" fontId="1" fillId="0" borderId="12" xfId="2" applyBorder="1" applyAlignment="1">
      <alignment wrapText="1"/>
    </xf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1" fillId="0" borderId="9" xfId="2" applyBorder="1" applyAlignment="1">
      <alignment wrapText="1"/>
    </xf>
    <xf numFmtId="3" fontId="1" fillId="6" borderId="2" xfId="2" applyNumberFormat="1" applyFont="1" applyFill="1" applyBorder="1" applyAlignment="1">
      <alignment horizontal="center"/>
    </xf>
    <xf numFmtId="0" fontId="1" fillId="0" borderId="6" xfId="2" applyFont="1" applyBorder="1" applyAlignment="1">
      <alignment horizontal="center"/>
    </xf>
    <xf numFmtId="3" fontId="1" fillId="4" borderId="6" xfId="2" applyNumberFormat="1" applyFont="1" applyFill="1" applyBorder="1" applyAlignment="1">
      <alignment horizontal="center"/>
    </xf>
    <xf numFmtId="3" fontId="1" fillId="11" borderId="0" xfId="2" applyNumberFormat="1" applyFill="1" applyBorder="1" applyAlignment="1">
      <alignment horizontal="center"/>
    </xf>
    <xf numFmtId="0" fontId="1" fillId="0" borderId="0" xfId="2" applyBorder="1" applyAlignment="1">
      <alignment horizontal="justify" wrapText="1"/>
    </xf>
    <xf numFmtId="0" fontId="1" fillId="0" borderId="15" xfId="2" applyFont="1" applyBorder="1" applyAlignment="1">
      <alignment horizontal="center"/>
    </xf>
    <xf numFmtId="3" fontId="1" fillId="6" borderId="13" xfId="2" applyNumberFormat="1" applyFill="1" applyBorder="1" applyAlignment="1">
      <alignment horizontal="center"/>
    </xf>
    <xf numFmtId="49" fontId="1" fillId="0" borderId="13" xfId="2" applyNumberFormat="1" applyFont="1" applyBorder="1"/>
    <xf numFmtId="0" fontId="1" fillId="0" borderId="14" xfId="2" applyBorder="1" applyAlignment="1">
      <alignment wrapText="1"/>
    </xf>
    <xf numFmtId="0" fontId="1" fillId="0" borderId="15" xfId="2" applyBorder="1" applyAlignment="1">
      <alignment wrapText="1"/>
    </xf>
    <xf numFmtId="164" fontId="5" fillId="0" borderId="16" xfId="1" applyFont="1" applyBorder="1" applyAlignment="1" applyProtection="1"/>
    <xf numFmtId="3" fontId="1" fillId="0" borderId="0" xfId="2" applyNumberFormat="1" applyAlignment="1">
      <alignment horizontal="center"/>
    </xf>
    <xf numFmtId="164" fontId="5" fillId="0" borderId="18" xfId="1" applyFont="1" applyBorder="1" applyAlignment="1" applyProtection="1"/>
    <xf numFmtId="164" fontId="5" fillId="0" borderId="0" xfId="1" applyFont="1" applyBorder="1" applyAlignment="1" applyProtection="1"/>
    <xf numFmtId="3" fontId="1" fillId="0" borderId="0" xfId="2" applyNumberFormat="1" applyAlignment="1">
      <alignment horizontal="right"/>
    </xf>
    <xf numFmtId="0" fontId="1" fillId="0" borderId="15" xfId="2" applyFont="1" applyBorder="1"/>
    <xf numFmtId="9" fontId="1" fillId="0" borderId="0" xfId="2" applyNumberFormat="1" applyFont="1" applyBorder="1" applyAlignment="1">
      <alignment horizontal="center"/>
    </xf>
    <xf numFmtId="0" fontId="1" fillId="12" borderId="3" xfId="2" applyFont="1" applyFill="1" applyBorder="1" applyAlignment="1">
      <alignment horizontal="center"/>
    </xf>
    <xf numFmtId="9" fontId="1" fillId="0" borderId="3" xfId="2" applyNumberFormat="1" applyFont="1" applyBorder="1" applyAlignment="1">
      <alignment horizontal="center"/>
    </xf>
    <xf numFmtId="3" fontId="5" fillId="0" borderId="19" xfId="2" applyNumberFormat="1" applyFont="1" applyBorder="1" applyAlignment="1">
      <alignment horizontal="center"/>
    </xf>
    <xf numFmtId="0" fontId="5" fillId="12" borderId="3" xfId="2" applyFont="1" applyFill="1" applyBorder="1" applyAlignment="1">
      <alignment horizontal="center"/>
    </xf>
    <xf numFmtId="10" fontId="1" fillId="0" borderId="0" xfId="2" applyNumberForma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" xfId="2" applyFont="1" applyBorder="1"/>
    <xf numFmtId="0" fontId="10" fillId="0" borderId="2" xfId="2" applyFont="1" applyBorder="1"/>
    <xf numFmtId="0" fontId="10" fillId="0" borderId="3" xfId="2" applyFont="1" applyBorder="1"/>
    <xf numFmtId="0" fontId="1" fillId="0" borderId="13" xfId="2" applyBorder="1"/>
    <xf numFmtId="0" fontId="5" fillId="0" borderId="3" xfId="2" applyFont="1" applyBorder="1" applyAlignment="1">
      <alignment horizontal="right"/>
    </xf>
    <xf numFmtId="0" fontId="1" fillId="0" borderId="3" xfId="2" applyFont="1" applyBorder="1" applyAlignment="1">
      <alignment horizontal="center" wrapText="1"/>
    </xf>
    <xf numFmtId="0" fontId="5" fillId="0" borderId="3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4" fontId="5" fillId="0" borderId="3" xfId="2" applyNumberFormat="1" applyFont="1" applyBorder="1"/>
    <xf numFmtId="0" fontId="1" fillId="2" borderId="3" xfId="2" applyFont="1" applyFill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2" applyFont="1" applyBorder="1"/>
    <xf numFmtId="0" fontId="8" fillId="0" borderId="0" xfId="2" applyFont="1" applyAlignment="1"/>
    <xf numFmtId="4" fontId="11" fillId="0" borderId="3" xfId="2" applyNumberFormat="1" applyFont="1" applyBorder="1"/>
    <xf numFmtId="0" fontId="11" fillId="0" borderId="0" xfId="2" applyFont="1"/>
    <xf numFmtId="4" fontId="8" fillId="0" borderId="3" xfId="2" applyNumberFormat="1" applyFont="1" applyBorder="1"/>
    <xf numFmtId="0" fontId="5" fillId="9" borderId="3" xfId="2" applyFont="1" applyFill="1" applyBorder="1" applyAlignment="1">
      <alignment horizontal="center"/>
    </xf>
    <xf numFmtId="164" fontId="5" fillId="9" borderId="15" xfId="2" applyNumberFormat="1" applyFont="1" applyFill="1" applyBorder="1" applyAlignment="1">
      <alignment horizontal="center"/>
    </xf>
    <xf numFmtId="164" fontId="5" fillId="9" borderId="3" xfId="2" applyNumberFormat="1" applyFont="1" applyFill="1" applyBorder="1" applyAlignment="1">
      <alignment horizontal="center"/>
    </xf>
    <xf numFmtId="164" fontId="5" fillId="9" borderId="13" xfId="2" applyNumberFormat="1" applyFont="1" applyFill="1" applyBorder="1" applyAlignment="1">
      <alignment horizontal="center"/>
    </xf>
    <xf numFmtId="0" fontId="1" fillId="0" borderId="0" xfId="2" applyAlignment="1">
      <alignment horizontal="right"/>
    </xf>
    <xf numFmtId="0" fontId="1" fillId="0" borderId="13" xfId="2" applyFont="1" applyBorder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right"/>
    </xf>
    <xf numFmtId="0" fontId="5" fillId="0" borderId="0" xfId="2" applyFont="1" applyBorder="1" applyAlignment="1">
      <alignment horizontal="center"/>
    </xf>
    <xf numFmtId="164" fontId="5" fillId="0" borderId="3" xfId="1" applyFont="1" applyBorder="1" applyAlignment="1" applyProtection="1">
      <alignment horizontal="center"/>
    </xf>
    <xf numFmtId="164" fontId="1" fillId="0" borderId="3" xfId="2" applyNumberFormat="1" applyBorder="1"/>
    <xf numFmtId="0" fontId="1" fillId="6" borderId="3" xfId="2" applyFill="1" applyBorder="1" applyAlignment="1">
      <alignment horizontal="center"/>
    </xf>
    <xf numFmtId="164" fontId="5" fillId="13" borderId="3" xfId="2" applyNumberFormat="1" applyFont="1" applyFill="1" applyBorder="1"/>
    <xf numFmtId="164" fontId="5" fillId="0" borderId="0" xfId="2" applyNumberFormat="1" applyFont="1" applyBorder="1"/>
    <xf numFmtId="0" fontId="1" fillId="0" borderId="0" xfId="2" applyFont="1" applyAlignment="1">
      <alignment horizontal="right"/>
    </xf>
    <xf numFmtId="164" fontId="5" fillId="0" borderId="1" xfId="2" applyNumberFormat="1" applyFont="1" applyBorder="1"/>
    <xf numFmtId="164" fontId="5" fillId="13" borderId="1" xfId="2" applyNumberFormat="1" applyFont="1" applyFill="1" applyBorder="1"/>
    <xf numFmtId="0" fontId="5" fillId="0" borderId="0" xfId="2" applyFont="1" applyBorder="1"/>
    <xf numFmtId="164" fontId="1" fillId="11" borderId="3" xfId="1" applyFont="1" applyFill="1" applyBorder="1" applyAlignment="1" applyProtection="1"/>
    <xf numFmtId="164" fontId="5" fillId="0" borderId="3" xfId="1" applyFont="1" applyBorder="1" applyAlignment="1" applyProtection="1"/>
    <xf numFmtId="0" fontId="1" fillId="14" borderId="0" xfId="2" applyFont="1" applyFill="1" applyAlignment="1">
      <alignment horizontal="right"/>
    </xf>
    <xf numFmtId="164" fontId="5" fillId="14" borderId="3" xfId="2" applyNumberFormat="1" applyFont="1" applyFill="1" applyBorder="1"/>
    <xf numFmtId="164" fontId="1" fillId="0" borderId="10" xfId="2" applyNumberFormat="1" applyBorder="1"/>
    <xf numFmtId="164" fontId="10" fillId="15" borderId="20" xfId="2" applyNumberFormat="1" applyFont="1" applyFill="1" applyBorder="1"/>
    <xf numFmtId="0" fontId="14" fillId="0" borderId="0" xfId="2" applyFont="1"/>
    <xf numFmtId="0" fontId="15" fillId="0" borderId="0" xfId="2" applyFont="1"/>
    <xf numFmtId="164" fontId="14" fillId="0" borderId="0" xfId="1" applyFont="1" applyBorder="1" applyAlignment="1" applyProtection="1"/>
    <xf numFmtId="0" fontId="1" fillId="16" borderId="3" xfId="2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164" fontId="1" fillId="0" borderId="3" xfId="2" applyNumberFormat="1" applyFont="1" applyBorder="1" applyAlignment="1">
      <alignment horizontal="center"/>
    </xf>
    <xf numFmtId="0" fontId="1" fillId="17" borderId="3" xfId="2" applyFont="1" applyFill="1" applyBorder="1" applyAlignment="1">
      <alignment horizontal="center"/>
    </xf>
    <xf numFmtId="164" fontId="1" fillId="17" borderId="3" xfId="2" applyNumberFormat="1" applyFill="1" applyBorder="1"/>
    <xf numFmtId="164" fontId="1" fillId="17" borderId="3" xfId="2" applyNumberFormat="1" applyFill="1" applyBorder="1" applyAlignment="1">
      <alignment horizontal="center"/>
    </xf>
    <xf numFmtId="0" fontId="5" fillId="0" borderId="13" xfId="2" applyFont="1" applyBorder="1"/>
    <xf numFmtId="0" fontId="5" fillId="0" borderId="14" xfId="2" applyFont="1" applyBorder="1"/>
    <xf numFmtId="0" fontId="5" fillId="0" borderId="15" xfId="2" applyFont="1" applyBorder="1"/>
    <xf numFmtId="0" fontId="5" fillId="9" borderId="14" xfId="2" applyFont="1" applyFill="1" applyBorder="1"/>
    <xf numFmtId="0" fontId="5" fillId="16" borderId="15" xfId="2" applyFont="1" applyFill="1" applyBorder="1" applyAlignment="1">
      <alignment horizontal="center"/>
    </xf>
    <xf numFmtId="0" fontId="5" fillId="16" borderId="3" xfId="2" applyFont="1" applyFill="1" applyBorder="1" applyAlignment="1">
      <alignment horizontal="center"/>
    </xf>
    <xf numFmtId="37" fontId="1" fillId="0" borderId="3" xfId="2" applyNumberFormat="1" applyBorder="1" applyAlignment="1">
      <alignment horizontal="center"/>
    </xf>
    <xf numFmtId="39" fontId="1" fillId="0" borderId="3" xfId="2" applyNumberFormat="1" applyBorder="1" applyAlignment="1">
      <alignment horizontal="center"/>
    </xf>
    <xf numFmtId="0" fontId="5" fillId="0" borderId="11" xfId="2" applyFont="1" applyBorder="1"/>
    <xf numFmtId="0" fontId="5" fillId="0" borderId="12" xfId="2" applyFont="1" applyBorder="1"/>
    <xf numFmtId="0" fontId="5" fillId="0" borderId="2" xfId="2" applyFont="1" applyBorder="1"/>
    <xf numFmtId="0" fontId="1" fillId="0" borderId="10" xfId="2" applyFont="1" applyBorder="1" applyAlignment="1">
      <alignment horizontal="center"/>
    </xf>
    <xf numFmtId="164" fontId="1" fillId="0" borderId="15" xfId="2" applyNumberFormat="1" applyBorder="1"/>
    <xf numFmtId="39" fontId="1" fillId="2" borderId="3" xfId="2" applyNumberFormat="1" applyFill="1" applyBorder="1" applyAlignment="1">
      <alignment horizontal="center"/>
    </xf>
    <xf numFmtId="37" fontId="5" fillId="10" borderId="3" xfId="2" applyNumberFormat="1" applyFont="1" applyFill="1" applyBorder="1" applyAlignment="1">
      <alignment horizontal="center"/>
    </xf>
    <xf numFmtId="39" fontId="16" fillId="0" borderId="3" xfId="2" applyNumberFormat="1" applyFont="1" applyBorder="1" applyAlignment="1">
      <alignment horizontal="center"/>
    </xf>
    <xf numFmtId="0" fontId="1" fillId="0" borderId="13" xfId="2" applyFont="1" applyBorder="1" applyAlignment="1">
      <alignment horizontal="left"/>
    </xf>
    <xf numFmtId="164" fontId="1" fillId="0" borderId="14" xfId="2" applyNumberFormat="1" applyBorder="1"/>
    <xf numFmtId="166" fontId="1" fillId="0" borderId="14" xfId="2" applyNumberFormat="1" applyBorder="1" applyAlignment="1">
      <alignment horizontal="center"/>
    </xf>
    <xf numFmtId="37" fontId="5" fillId="0" borderId="14" xfId="2" applyNumberFormat="1" applyFont="1" applyBorder="1" applyAlignment="1">
      <alignment horizontal="center"/>
    </xf>
    <xf numFmtId="166" fontId="16" fillId="0" borderId="14" xfId="2" applyNumberFormat="1" applyFont="1" applyBorder="1" applyAlignment="1">
      <alignment horizontal="center"/>
    </xf>
    <xf numFmtId="165" fontId="1" fillId="0" borderId="3" xfId="2" applyNumberFormat="1" applyBorder="1"/>
    <xf numFmtId="0" fontId="10" fillId="2" borderId="3" xfId="2" applyFont="1" applyFill="1" applyBorder="1" applyAlignment="1">
      <alignment horizontal="center"/>
    </xf>
    <xf numFmtId="164" fontId="1" fillId="0" borderId="1" xfId="2" applyNumberFormat="1" applyBorder="1"/>
    <xf numFmtId="164" fontId="5" fillId="0" borderId="3" xfId="2" applyNumberFormat="1" applyFont="1" applyFill="1" applyBorder="1"/>
    <xf numFmtId="164" fontId="5" fillId="0" borderId="13" xfId="1" applyFont="1" applyBorder="1" applyAlignment="1" applyProtection="1"/>
    <xf numFmtId="164" fontId="5" fillId="0" borderId="14" xfId="2" applyNumberFormat="1" applyFont="1" applyBorder="1"/>
    <xf numFmtId="0" fontId="1" fillId="0" borderId="15" xfId="2" applyFont="1" applyBorder="1" applyAlignment="1">
      <alignment horizontal="right"/>
    </xf>
    <xf numFmtId="164" fontId="5" fillId="13" borderId="15" xfId="2" applyNumberFormat="1" applyFont="1" applyFill="1" applyBorder="1"/>
    <xf numFmtId="164" fontId="5" fillId="10" borderId="15" xfId="2" applyNumberFormat="1" applyFont="1" applyFill="1" applyBorder="1"/>
    <xf numFmtId="0" fontId="10" fillId="0" borderId="13" xfId="2" applyFont="1" applyBorder="1"/>
    <xf numFmtId="0" fontId="10" fillId="0" borderId="14" xfId="2" applyFont="1" applyBorder="1"/>
    <xf numFmtId="0" fontId="10" fillId="0" borderId="15" xfId="2" applyFont="1" applyBorder="1"/>
    <xf numFmtId="0" fontId="10" fillId="0" borderId="0" xfId="2" applyFont="1" applyBorder="1" applyAlignment="1">
      <alignment horizontal="center"/>
    </xf>
    <xf numFmtId="0" fontId="2" fillId="0" borderId="0" xfId="2" applyFont="1" applyAlignment="1"/>
    <xf numFmtId="0" fontId="5" fillId="0" borderId="0" xfId="2" applyFont="1" applyAlignment="1"/>
    <xf numFmtId="0" fontId="8" fillId="0" borderId="0" xfId="2" applyFont="1" applyBorder="1" applyAlignment="1">
      <alignment horizontal="center"/>
    </xf>
    <xf numFmtId="0" fontId="16" fillId="18" borderId="3" xfId="2" applyFont="1" applyFill="1" applyBorder="1" applyAlignment="1">
      <alignment horizontal="center"/>
    </xf>
    <xf numFmtId="0" fontId="16" fillId="18" borderId="15" xfId="2" applyFont="1" applyFill="1" applyBorder="1" applyAlignment="1">
      <alignment horizontal="center"/>
    </xf>
    <xf numFmtId="0" fontId="16" fillId="18" borderId="3" xfId="2" applyFont="1" applyFill="1" applyBorder="1"/>
    <xf numFmtId="0" fontId="16" fillId="0" borderId="12" xfId="2" applyFont="1" applyBorder="1" applyAlignment="1">
      <alignment horizontal="left" wrapText="1"/>
    </xf>
    <xf numFmtId="0" fontId="16" fillId="0" borderId="15" xfId="2" applyFont="1" applyBorder="1" applyAlignment="1">
      <alignment horizontal="left" wrapText="1"/>
    </xf>
    <xf numFmtId="0" fontId="6" fillId="0" borderId="0" xfId="2" applyFont="1" applyBorder="1" applyAlignment="1">
      <alignment wrapText="1"/>
    </xf>
    <xf numFmtId="0" fontId="16" fillId="0" borderId="10" xfId="2" applyFont="1" applyBorder="1" applyAlignment="1">
      <alignment horizontal="left" wrapText="1"/>
    </xf>
    <xf numFmtId="0" fontId="5" fillId="18" borderId="3" xfId="2" applyFont="1" applyFill="1" applyBorder="1" applyAlignment="1">
      <alignment horizontal="center"/>
    </xf>
    <xf numFmtId="0" fontId="5" fillId="18" borderId="3" xfId="2" applyFont="1" applyFill="1" applyBorder="1"/>
    <xf numFmtId="0" fontId="5" fillId="18" borderId="13" xfId="2" applyFont="1" applyFill="1" applyBorder="1"/>
    <xf numFmtId="0" fontId="1" fillId="12" borderId="4" xfId="2" applyFont="1" applyFill="1" applyBorder="1" applyAlignment="1">
      <alignment horizontal="center"/>
    </xf>
    <xf numFmtId="0" fontId="1" fillId="15" borderId="3" xfId="2" applyFont="1" applyFill="1" applyBorder="1" applyAlignment="1">
      <alignment horizontal="center"/>
    </xf>
    <xf numFmtId="0" fontId="19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right"/>
    </xf>
    <xf numFmtId="0" fontId="5" fillId="19" borderId="7" xfId="2" applyFont="1" applyFill="1" applyBorder="1" applyAlignment="1">
      <alignment vertical="center" wrapText="1"/>
    </xf>
    <xf numFmtId="0" fontId="5" fillId="19" borderId="8" xfId="2" applyFont="1" applyFill="1" applyBorder="1" applyAlignment="1">
      <alignment vertical="center" wrapText="1"/>
    </xf>
    <xf numFmtId="0" fontId="5" fillId="19" borderId="4" xfId="2" applyFont="1" applyFill="1" applyBorder="1" applyAlignment="1">
      <alignment vertical="center" wrapText="1"/>
    </xf>
    <xf numFmtId="0" fontId="1" fillId="0" borderId="13" xfId="2" applyFont="1" applyBorder="1" applyAlignment="1"/>
    <xf numFmtId="0" fontId="1" fillId="0" borderId="14" xfId="2" applyBorder="1" applyAlignment="1"/>
    <xf numFmtId="0" fontId="10" fillId="0" borderId="0" xfId="2" applyFont="1"/>
    <xf numFmtId="37" fontId="1" fillId="0" borderId="15" xfId="2" applyNumberFormat="1" applyBorder="1" applyAlignment="1">
      <alignment horizontal="center"/>
    </xf>
    <xf numFmtId="0" fontId="19" fillId="0" borderId="0" xfId="2" applyFont="1" applyBorder="1" applyAlignment="1">
      <alignment vertical="top" wrapText="1"/>
    </xf>
    <xf numFmtId="0" fontId="5" fillId="19" borderId="13" xfId="2" applyFont="1" applyFill="1" applyBorder="1" applyAlignment="1"/>
    <xf numFmtId="0" fontId="5" fillId="19" borderId="14" xfId="2" applyFont="1" applyFill="1" applyBorder="1" applyAlignment="1"/>
    <xf numFmtId="0" fontId="5" fillId="19" borderId="3" xfId="2" applyFont="1" applyFill="1" applyBorder="1"/>
    <xf numFmtId="37" fontId="5" fillId="16" borderId="15" xfId="2" applyNumberFormat="1" applyFont="1" applyFill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1" fillId="20" borderId="3" xfId="2" applyFont="1" applyFill="1" applyBorder="1" applyAlignment="1">
      <alignment horizontal="center"/>
    </xf>
    <xf numFmtId="0" fontId="1" fillId="20" borderId="3" xfId="2" applyFont="1" applyFill="1" applyBorder="1" applyAlignment="1">
      <alignment horizontal="center" vertical="center" wrapText="1"/>
    </xf>
    <xf numFmtId="0" fontId="1" fillId="20" borderId="3" xfId="2" applyFill="1" applyBorder="1" applyAlignment="1">
      <alignment horizontal="center" vertical="center"/>
    </xf>
    <xf numFmtId="0" fontId="1" fillId="20" borderId="3" xfId="2" applyFont="1" applyFill="1" applyBorder="1" applyAlignment="1">
      <alignment vertical="center"/>
    </xf>
    <xf numFmtId="0" fontId="1" fillId="0" borderId="23" xfId="2" applyFont="1" applyBorder="1"/>
    <xf numFmtId="0" fontId="1" fillId="0" borderId="24" xfId="2" applyBorder="1" applyAlignment="1">
      <alignment horizontal="center"/>
    </xf>
    <xf numFmtId="2" fontId="1" fillId="0" borderId="24" xfId="2" applyNumberForma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" fillId="0" borderId="25" xfId="2" applyBorder="1" applyAlignment="1">
      <alignment horizontal="center"/>
    </xf>
    <xf numFmtId="0" fontId="1" fillId="21" borderId="26" xfId="2" applyFont="1" applyFill="1" applyBorder="1"/>
    <xf numFmtId="0" fontId="1" fillId="21" borderId="27" xfId="2" applyFill="1" applyBorder="1" applyAlignment="1">
      <alignment horizontal="center"/>
    </xf>
    <xf numFmtId="0" fontId="1" fillId="21" borderId="0" xfId="2" applyFill="1"/>
    <xf numFmtId="2" fontId="1" fillId="21" borderId="27" xfId="2" applyNumberFormat="1" applyFill="1" applyBorder="1" applyAlignment="1">
      <alignment horizontal="center"/>
    </xf>
    <xf numFmtId="0" fontId="10" fillId="21" borderId="27" xfId="2" applyFont="1" applyFill="1" applyBorder="1" applyAlignment="1">
      <alignment horizontal="center"/>
    </xf>
    <xf numFmtId="0" fontId="1" fillId="21" borderId="28" xfId="2" applyFill="1" applyBorder="1" applyAlignment="1">
      <alignment horizontal="center"/>
    </xf>
    <xf numFmtId="0" fontId="1" fillId="0" borderId="26" xfId="2" applyFont="1" applyBorder="1"/>
    <xf numFmtId="0" fontId="1" fillId="0" borderId="27" xfId="2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" fillId="0" borderId="28" xfId="2" applyBorder="1" applyAlignment="1">
      <alignment horizontal="center"/>
    </xf>
    <xf numFmtId="0" fontId="1" fillId="21" borderId="29" xfId="2" applyFont="1" applyFill="1" applyBorder="1"/>
    <xf numFmtId="0" fontId="1" fillId="21" borderId="30" xfId="2" applyFill="1" applyBorder="1" applyAlignment="1">
      <alignment horizontal="center"/>
    </xf>
    <xf numFmtId="2" fontId="1" fillId="21" borderId="30" xfId="2" applyNumberFormat="1" applyFill="1" applyBorder="1" applyAlignment="1">
      <alignment horizontal="center"/>
    </xf>
    <xf numFmtId="0" fontId="10" fillId="21" borderId="30" xfId="2" applyFont="1" applyFill="1" applyBorder="1" applyAlignment="1">
      <alignment horizontal="center"/>
    </xf>
    <xf numFmtId="0" fontId="1" fillId="21" borderId="31" xfId="2" applyFill="1" applyBorder="1" applyAlignment="1">
      <alignment horizontal="center"/>
    </xf>
    <xf numFmtId="0" fontId="1" fillId="20" borderId="3" xfId="2" applyFont="1" applyFill="1" applyBorder="1"/>
    <xf numFmtId="0" fontId="1" fillId="20" borderId="3" xfId="2" applyFill="1" applyBorder="1" applyAlignment="1"/>
    <xf numFmtId="2" fontId="1" fillId="20" borderId="3" xfId="2" applyNumberFormat="1" applyFill="1" applyBorder="1" applyAlignment="1">
      <alignment horizontal="center"/>
    </xf>
    <xf numFmtId="0" fontId="1" fillId="2" borderId="3" xfId="2" applyFont="1" applyFill="1" applyBorder="1"/>
    <xf numFmtId="2" fontId="1" fillId="0" borderId="3" xfId="2" applyNumberFormat="1" applyBorder="1" applyAlignment="1">
      <alignment horizontal="center"/>
    </xf>
    <xf numFmtId="0" fontId="5" fillId="11" borderId="3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5" fillId="22" borderId="1" xfId="2" applyFont="1" applyFill="1" applyBorder="1" applyAlignment="1">
      <alignment horizontal="center" vertical="center"/>
    </xf>
    <xf numFmtId="0" fontId="5" fillId="22" borderId="2" xfId="2" applyFont="1" applyFill="1" applyBorder="1" applyAlignment="1">
      <alignment horizontal="center" vertical="center"/>
    </xf>
    <xf numFmtId="0" fontId="5" fillId="22" borderId="4" xfId="2" applyFont="1" applyFill="1" applyBorder="1" applyAlignment="1">
      <alignment horizontal="center"/>
    </xf>
    <xf numFmtId="0" fontId="16" fillId="21" borderId="3" xfId="2" applyFont="1" applyFill="1" applyBorder="1" applyAlignment="1">
      <alignment wrapText="1"/>
    </xf>
    <xf numFmtId="0" fontId="1" fillId="21" borderId="3" xfId="2" applyFont="1" applyFill="1" applyBorder="1" applyAlignment="1">
      <alignment horizontal="center"/>
    </xf>
    <xf numFmtId="3" fontId="1" fillId="21" borderId="3" xfId="2" applyNumberFormat="1" applyFont="1" applyFill="1" applyBorder="1" applyAlignment="1">
      <alignment horizontal="center"/>
    </xf>
    <xf numFmtId="164" fontId="1" fillId="21" borderId="3" xfId="2" applyNumberFormat="1" applyFill="1" applyBorder="1"/>
    <xf numFmtId="164" fontId="1" fillId="21" borderId="3" xfId="2" applyNumberFormat="1" applyFill="1" applyBorder="1" applyAlignment="1">
      <alignment horizontal="center"/>
    </xf>
    <xf numFmtId="0" fontId="16" fillId="0" borderId="3" xfId="2" applyFont="1" applyBorder="1" applyAlignment="1">
      <alignment wrapText="1"/>
    </xf>
    <xf numFmtId="164" fontId="1" fillId="23" borderId="3" xfId="2" applyNumberFormat="1" applyFill="1" applyBorder="1"/>
    <xf numFmtId="164" fontId="1" fillId="23" borderId="3" xfId="2" applyNumberFormat="1" applyFill="1" applyBorder="1" applyAlignment="1">
      <alignment horizontal="center"/>
    </xf>
    <xf numFmtId="0" fontId="1" fillId="21" borderId="0" xfId="2" applyFont="1" applyFill="1"/>
    <xf numFmtId="0" fontId="16" fillId="21" borderId="3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wrapText="1"/>
    </xf>
    <xf numFmtId="0" fontId="16" fillId="21" borderId="1" xfId="2" applyFont="1" applyFill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6" fillId="21" borderId="1" xfId="2" applyFont="1" applyFill="1" applyBorder="1" applyAlignment="1">
      <alignment wrapText="1"/>
    </xf>
    <xf numFmtId="0" fontId="1" fillId="21" borderId="15" xfId="2" applyFont="1" applyFill="1" applyBorder="1" applyAlignment="1">
      <alignment horizontal="center"/>
    </xf>
    <xf numFmtId="164" fontId="1" fillId="21" borderId="15" xfId="2" applyNumberFormat="1" applyFill="1" applyBorder="1"/>
    <xf numFmtId="0" fontId="9" fillId="0" borderId="0" xfId="2" applyFont="1"/>
    <xf numFmtId="0" fontId="16" fillId="0" borderId="3" xfId="2" applyFont="1" applyBorder="1" applyAlignment="1">
      <alignment horizontal="center" wrapText="1"/>
    </xf>
    <xf numFmtId="3" fontId="16" fillId="0" borderId="3" xfId="2" applyNumberFormat="1" applyFont="1" applyBorder="1" applyAlignment="1">
      <alignment horizontal="center" wrapText="1"/>
    </xf>
    <xf numFmtId="3" fontId="16" fillId="22" borderId="3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wrapText="1"/>
    </xf>
    <xf numFmtId="3" fontId="16" fillId="0" borderId="0" xfId="2" applyNumberFormat="1" applyFont="1" applyBorder="1" applyAlignment="1">
      <alignment horizontal="center" wrapText="1"/>
    </xf>
    <xf numFmtId="164" fontId="5" fillId="23" borderId="3" xfId="2" applyNumberFormat="1" applyFont="1" applyFill="1" applyBorder="1"/>
    <xf numFmtId="165" fontId="5" fillId="0" borderId="3" xfId="2" applyNumberFormat="1" applyFont="1" applyBorder="1"/>
    <xf numFmtId="165" fontId="5" fillId="24" borderId="3" xfId="2" applyNumberFormat="1" applyFont="1" applyFill="1" applyBorder="1"/>
    <xf numFmtId="3" fontId="5" fillId="0" borderId="6" xfId="2" applyNumberFormat="1" applyFont="1" applyBorder="1" applyAlignment="1">
      <alignment horizontal="center"/>
    </xf>
    <xf numFmtId="3" fontId="5" fillId="0" borderId="8" xfId="2" applyNumberFormat="1" applyFont="1" applyBorder="1" applyAlignment="1">
      <alignment horizontal="center"/>
    </xf>
    <xf numFmtId="0" fontId="8" fillId="0" borderId="15" xfId="2" applyFont="1" applyBorder="1" applyAlignment="1">
      <alignment horizontal="right"/>
    </xf>
    <xf numFmtId="0" fontId="10" fillId="0" borderId="2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8" fillId="0" borderId="13" xfId="2" applyFont="1" applyBorder="1" applyAlignment="1"/>
    <xf numFmtId="4" fontId="10" fillId="0" borderId="3" xfId="2" applyNumberFormat="1" applyFont="1" applyBorder="1"/>
    <xf numFmtId="4" fontId="1" fillId="0" borderId="15" xfId="2" applyNumberFormat="1" applyBorder="1"/>
    <xf numFmtId="167" fontId="10" fillId="0" borderId="3" xfId="2" applyNumberFormat="1" applyFont="1" applyBorder="1" applyAlignment="1">
      <alignment horizontal="center"/>
    </xf>
    <xf numFmtId="0" fontId="6" fillId="0" borderId="0" xfId="2" applyFont="1" applyBorder="1" applyAlignment="1">
      <alignment horizontal="left" wrapText="1"/>
    </xf>
    <xf numFmtId="0" fontId="6" fillId="0" borderId="7" xfId="2" applyFont="1" applyBorder="1" applyAlignment="1">
      <alignment horizontal="left" wrapText="1"/>
    </xf>
    <xf numFmtId="49" fontId="1" fillId="0" borderId="2" xfId="2" applyNumberFormat="1" applyBorder="1" applyAlignment="1">
      <alignment horizontal="left" wrapText="1"/>
    </xf>
    <xf numFmtId="0" fontId="6" fillId="0" borderId="3" xfId="2" applyFont="1" applyBorder="1" applyAlignment="1">
      <alignment horizontal="left" wrapText="1"/>
    </xf>
    <xf numFmtId="49" fontId="1" fillId="0" borderId="1" xfId="2" applyNumberFormat="1" applyFont="1" applyBorder="1" applyAlignment="1">
      <alignment horizontal="left" wrapText="1"/>
    </xf>
    <xf numFmtId="0" fontId="6" fillId="2" borderId="7" xfId="2" applyFont="1" applyFill="1" applyBorder="1" applyAlignment="1">
      <alignment horizontal="left" wrapText="1"/>
    </xf>
    <xf numFmtId="49" fontId="1" fillId="0" borderId="2" xfId="2" applyNumberFormat="1" applyBorder="1" applyAlignment="1">
      <alignment wrapText="1"/>
    </xf>
    <xf numFmtId="49" fontId="1" fillId="0" borderId="1" xfId="2" applyNumberFormat="1" applyBorder="1" applyAlignment="1">
      <alignment horizontal="left" wrapText="1"/>
    </xf>
    <xf numFmtId="49" fontId="1" fillId="0" borderId="7" xfId="2" applyNumberFormat="1" applyBorder="1" applyAlignment="1">
      <alignment horizontal="left" wrapText="1"/>
    </xf>
    <xf numFmtId="49" fontId="1" fillId="0" borderId="4" xfId="2" applyNumberFormat="1" applyBorder="1" applyAlignment="1">
      <alignment horizontal="left" wrapText="1"/>
    </xf>
    <xf numFmtId="49" fontId="1" fillId="0" borderId="3" xfId="2" applyNumberFormat="1" applyBorder="1" applyAlignment="1">
      <alignment horizontal="left" wrapText="1"/>
    </xf>
    <xf numFmtId="0" fontId="1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left" wrapText="1"/>
    </xf>
    <xf numFmtId="0" fontId="3" fillId="0" borderId="0" xfId="2" applyFont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3" fontId="5" fillId="12" borderId="3" xfId="2" applyNumberFormat="1" applyFont="1" applyFill="1" applyBorder="1" applyAlignment="1">
      <alignment horizontal="center"/>
    </xf>
    <xf numFmtId="0" fontId="1" fillId="0" borderId="1" xfId="2" applyFont="1" applyBorder="1" applyAlignment="1">
      <alignment horizontal="justify" wrapText="1"/>
    </xf>
    <xf numFmtId="164" fontId="5" fillId="0" borderId="3" xfId="2" applyNumberFormat="1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" fillId="0" borderId="4" xfId="2" applyBorder="1" applyAlignment="1">
      <alignment horizontal="justify" wrapText="1"/>
    </xf>
    <xf numFmtId="0" fontId="1" fillId="0" borderId="3" xfId="2" applyFont="1" applyBorder="1" applyAlignment="1">
      <alignment horizontal="justify" wrapText="1"/>
    </xf>
    <xf numFmtId="0" fontId="1" fillId="0" borderId="2" xfId="2" applyFont="1" applyBorder="1" applyAlignment="1">
      <alignment horizontal="justify" wrapText="1"/>
    </xf>
    <xf numFmtId="0" fontId="1" fillId="0" borderId="1" xfId="2" applyBorder="1" applyAlignment="1">
      <alignment horizontal="left" wrapText="1"/>
    </xf>
    <xf numFmtId="0" fontId="6" fillId="0" borderId="11" xfId="2" applyFont="1" applyBorder="1" applyAlignment="1">
      <alignment horizontal="left" wrapText="1"/>
    </xf>
    <xf numFmtId="0" fontId="6" fillId="2" borderId="8" xfId="2" applyFont="1" applyFill="1" applyBorder="1" applyAlignment="1">
      <alignment horizontal="left" wrapText="1"/>
    </xf>
    <xf numFmtId="0" fontId="6" fillId="0" borderId="8" xfId="2" applyFont="1" applyBorder="1" applyAlignment="1">
      <alignment horizontal="left" wrapText="1"/>
    </xf>
    <xf numFmtId="0" fontId="7" fillId="0" borderId="11" xfId="2" applyFont="1" applyBorder="1" applyAlignment="1">
      <alignment horizontal="left" wrapText="1"/>
    </xf>
    <xf numFmtId="0" fontId="6" fillId="0" borderId="13" xfId="2" applyFont="1" applyBorder="1" applyAlignment="1">
      <alignment horizontal="left" wrapText="1"/>
    </xf>
    <xf numFmtId="0" fontId="6" fillId="2" borderId="0" xfId="2" applyFont="1" applyFill="1" applyBorder="1" applyAlignment="1">
      <alignment horizontal="left" wrapText="1"/>
    </xf>
    <xf numFmtId="49" fontId="1" fillId="0" borderId="4" xfId="2" applyNumberFormat="1" applyBorder="1" applyAlignment="1">
      <alignment horizontal="justify" wrapText="1"/>
    </xf>
    <xf numFmtId="0" fontId="5" fillId="2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1" fillId="0" borderId="16" xfId="2" applyFont="1" applyBorder="1" applyAlignment="1">
      <alignment horizontal="center" vertical="top" wrapText="1"/>
    </xf>
    <xf numFmtId="0" fontId="5" fillId="2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right"/>
    </xf>
    <xf numFmtId="0" fontId="1" fillId="0" borderId="22" xfId="2" applyFont="1" applyBorder="1" applyAlignment="1">
      <alignment horizontal="center"/>
    </xf>
    <xf numFmtId="0" fontId="1" fillId="0" borderId="21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1" fillId="9" borderId="0" xfId="2" applyFont="1" applyFill="1" applyBorder="1" applyAlignment="1">
      <alignment horizontal="center"/>
    </xf>
    <xf numFmtId="164" fontId="1" fillId="0" borderId="3" xfId="1" applyFont="1" applyBorder="1" applyAlignment="1" applyProtection="1">
      <alignment horizontal="center"/>
    </xf>
    <xf numFmtId="0" fontId="10" fillId="0" borderId="3" xfId="2" applyFont="1" applyBorder="1" applyAlignment="1">
      <alignment horizontal="center" vertical="top" wrapText="1"/>
    </xf>
    <xf numFmtId="37" fontId="1" fillId="0" borderId="3" xfId="2" applyNumberFormat="1" applyFont="1" applyBorder="1" applyAlignment="1">
      <alignment horizontal="center"/>
    </xf>
    <xf numFmtId="0" fontId="5" fillId="16" borderId="3" xfId="2" applyFont="1" applyFill="1" applyBorder="1" applyAlignment="1">
      <alignment horizontal="center"/>
    </xf>
    <xf numFmtId="0" fontId="10" fillId="0" borderId="11" xfId="2" applyFont="1" applyBorder="1" applyAlignment="1">
      <alignment horizontal="left" vertical="top" wrapText="1"/>
    </xf>
    <xf numFmtId="0" fontId="1" fillId="0" borderId="0" xfId="2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18" fillId="0" borderId="10" xfId="2" applyFont="1" applyBorder="1" applyAlignment="1">
      <alignment horizontal="justify" vertical="top" wrapText="1"/>
    </xf>
    <xf numFmtId="0" fontId="8" fillId="0" borderId="0" xfId="2" applyFont="1" applyBorder="1" applyAlignment="1">
      <alignment horizontal="center"/>
    </xf>
    <xf numFmtId="0" fontId="1" fillId="18" borderId="3" xfId="2" applyFont="1" applyFill="1" applyBorder="1" applyAlignment="1">
      <alignment horizontal="center" vertical="center"/>
    </xf>
    <xf numFmtId="0" fontId="1" fillId="18" borderId="13" xfId="2" applyFont="1" applyFill="1" applyBorder="1" applyAlignment="1">
      <alignment horizontal="center" vertical="center"/>
    </xf>
    <xf numFmtId="0" fontId="5" fillId="18" borderId="3" xfId="2" applyFont="1" applyFill="1" applyBorder="1" applyAlignment="1">
      <alignment horizontal="center"/>
    </xf>
    <xf numFmtId="0" fontId="5" fillId="18" borderId="3" xfId="2" applyFont="1" applyFill="1" applyBorder="1" applyAlignment="1">
      <alignment horizontal="justify" vertical="top" wrapText="1"/>
    </xf>
    <xf numFmtId="0" fontId="5" fillId="18" borderId="3" xfId="2" applyFont="1" applyFill="1" applyBorder="1" applyAlignment="1">
      <alignment horizontal="center" vertical="center" wrapText="1"/>
    </xf>
    <xf numFmtId="0" fontId="5" fillId="18" borderId="7" xfId="2" applyFont="1" applyFill="1" applyBorder="1" applyAlignment="1">
      <alignment horizontal="center"/>
    </xf>
    <xf numFmtId="0" fontId="9" fillId="0" borderId="3" xfId="2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5" fillId="0" borderId="3" xfId="2" applyFont="1" applyBorder="1" applyAlignment="1">
      <alignment horizontal="justify" wrapText="1"/>
    </xf>
    <xf numFmtId="0" fontId="16" fillId="18" borderId="3" xfId="2" applyFont="1" applyFill="1" applyBorder="1" applyAlignment="1">
      <alignment horizontal="center"/>
    </xf>
    <xf numFmtId="0" fontId="5" fillId="11" borderId="3" xfId="2" applyFont="1" applyFill="1" applyBorder="1" applyAlignment="1">
      <alignment horizontal="center"/>
    </xf>
    <xf numFmtId="0" fontId="1" fillId="20" borderId="3" xfId="2" applyFont="1" applyFill="1" applyBorder="1" applyAlignment="1">
      <alignment horizontal="center" vertical="center"/>
    </xf>
    <xf numFmtId="0" fontId="1" fillId="20" borderId="3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1" fillId="20" borderId="3" xfId="2" applyFont="1" applyFill="1" applyBorder="1" applyAlignment="1">
      <alignment horizontal="center"/>
    </xf>
    <xf numFmtId="0" fontId="5" fillId="24" borderId="3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wrapText="1"/>
    </xf>
    <xf numFmtId="0" fontId="20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 wrapText="1"/>
    </xf>
    <xf numFmtId="0" fontId="5" fillId="0" borderId="3" xfId="2" applyFont="1" applyBorder="1" applyAlignment="1">
      <alignment horizontal="right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center" vertical="top" wrapText="1"/>
    </xf>
  </cellXfs>
  <cellStyles count="3">
    <cellStyle name="Excel Built-in Normal" xfId="2"/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5B3D7"/>
      <rgbColor rgb="00993366"/>
      <rgbColor rgb="00FCD5B5"/>
      <rgbColor rgb="00DCE6F2"/>
      <rgbColor rgb="00660066"/>
      <rgbColor rgb="00D99694"/>
      <rgbColor rgb="000066CC"/>
      <rgbColor rgb="00C6D9F1"/>
      <rgbColor rgb="00000080"/>
      <rgbColor rgb="00FF00FF"/>
      <rgbColor rgb="006FF907"/>
      <rgbColor rgb="0000FFFF"/>
      <rgbColor rgb="00800080"/>
      <rgbColor rgb="00800000"/>
      <rgbColor rgb="00008080"/>
      <rgbColor rgb="000000FF"/>
      <rgbColor rgb="0000CCFF"/>
      <rgbColor rgb="00DDD9C3"/>
      <rgbColor rgb="00D7E4BD"/>
      <rgbColor rgb="00C3D69B"/>
      <rgbColor rgb="00B9CDE5"/>
      <rgbColor rgb="00E6B9B8"/>
      <rgbColor rgb="00CC99FF"/>
      <rgbColor rgb="00FAC090"/>
      <rgbColor rgb="003366FF"/>
      <rgbColor rgb="0033CCCC"/>
      <rgbColor rgb="0092D050"/>
      <rgbColor rgb="00FFC000"/>
      <rgbColor rgb="00FF9900"/>
      <rgbColor rgb="00E46C0A"/>
      <rgbColor rgb="00558ED5"/>
      <rgbColor rgb="00A6A6A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7"/>
  <sheetViews>
    <sheetView tabSelected="1" view="pageBreakPreview" zoomScale="90" zoomScaleNormal="70" zoomScaleSheetLayoutView="90" workbookViewId="0">
      <selection activeCell="M196" sqref="M196"/>
    </sheetView>
  </sheetViews>
  <sheetFormatPr defaultColWidth="9.42578125" defaultRowHeight="15"/>
  <cols>
    <col min="1" max="1" width="38.5703125" style="1" customWidth="1"/>
    <col min="2" max="2" width="8.140625" style="1" customWidth="1"/>
    <col min="3" max="3" width="14.85546875" style="1" customWidth="1"/>
    <col min="4" max="5" width="0" style="1" hidden="1" customWidth="1"/>
    <col min="6" max="6" width="9" style="1" customWidth="1"/>
    <col min="7" max="11" width="0" style="1" hidden="1" customWidth="1"/>
    <col min="12" max="12" width="16" style="1" customWidth="1"/>
    <col min="13" max="13" width="14.85546875" style="1" customWidth="1"/>
    <col min="14" max="15" width="0" style="1" hidden="1" customWidth="1"/>
    <col min="16" max="16" width="50.42578125" style="1" customWidth="1"/>
    <col min="17" max="17" width="12.28515625" style="1" customWidth="1"/>
    <col min="18" max="19" width="9.42578125" style="1"/>
    <col min="20" max="20" width="26.28515625" style="1" customWidth="1"/>
    <col min="21" max="22" width="0" style="1" hidden="1" customWidth="1"/>
    <col min="23" max="16384" width="9.42578125" style="1"/>
  </cols>
  <sheetData>
    <row r="1" spans="1:20" ht="21">
      <c r="A1" s="2" t="s">
        <v>0</v>
      </c>
    </row>
    <row r="2" spans="1:20" ht="21">
      <c r="A2" s="2" t="s">
        <v>1</v>
      </c>
    </row>
    <row r="3" spans="1:20" ht="21">
      <c r="A3" s="2"/>
    </row>
    <row r="4" spans="1:20" ht="21">
      <c r="A4" s="428" t="s">
        <v>2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</row>
    <row r="5" spans="1:20" ht="18.75">
      <c r="A5" s="3" t="s">
        <v>3</v>
      </c>
      <c r="B5" s="3"/>
    </row>
    <row r="6" spans="1:20" ht="18.75">
      <c r="A6" s="3"/>
      <c r="B6" s="3"/>
    </row>
    <row r="7" spans="1:20" ht="18.75">
      <c r="A7" s="3"/>
      <c r="B7" s="3"/>
    </row>
    <row r="8" spans="1:20">
      <c r="A8" s="429" t="s">
        <v>4</v>
      </c>
      <c r="B8" s="429"/>
      <c r="C8" s="429"/>
      <c r="D8" s="429"/>
      <c r="E8" s="429"/>
      <c r="F8" s="4"/>
      <c r="G8" s="430" t="s">
        <v>5</v>
      </c>
      <c r="H8" s="430"/>
      <c r="I8" s="430"/>
      <c r="J8" s="430"/>
      <c r="L8" s="431" t="s">
        <v>6</v>
      </c>
      <c r="M8" s="431"/>
      <c r="N8" s="431"/>
      <c r="O8" s="431"/>
    </row>
    <row r="9" spans="1:20" ht="15" customHeight="1">
      <c r="A9" s="432" t="s">
        <v>7</v>
      </c>
      <c r="B9" s="432"/>
      <c r="C9" s="432"/>
      <c r="D9" s="432"/>
      <c r="E9" s="432"/>
      <c r="F9" s="4"/>
      <c r="G9" s="433" t="s">
        <v>8</v>
      </c>
      <c r="H9" s="433"/>
      <c r="I9" s="433"/>
      <c r="J9" s="433"/>
      <c r="L9" s="434" t="s">
        <v>9</v>
      </c>
      <c r="M9" s="434"/>
      <c r="N9" s="434"/>
      <c r="O9" s="434"/>
    </row>
    <row r="10" spans="1:20" ht="45">
      <c r="A10" s="6" t="s">
        <v>10</v>
      </c>
      <c r="B10" s="7" t="s">
        <v>11</v>
      </c>
      <c r="C10" s="7" t="s">
        <v>12</v>
      </c>
      <c r="D10" s="8" t="s">
        <v>13</v>
      </c>
      <c r="E10" s="8" t="s">
        <v>14</v>
      </c>
      <c r="G10" s="7" t="s">
        <v>11</v>
      </c>
      <c r="H10" s="9" t="s">
        <v>12</v>
      </c>
      <c r="I10" s="8" t="s">
        <v>13</v>
      </c>
      <c r="J10" s="8" t="s">
        <v>14</v>
      </c>
      <c r="L10" s="6" t="s">
        <v>11</v>
      </c>
      <c r="M10" s="10" t="s">
        <v>12</v>
      </c>
      <c r="N10" s="8" t="s">
        <v>13</v>
      </c>
      <c r="O10" s="8" t="s">
        <v>14</v>
      </c>
      <c r="P10" s="10" t="s">
        <v>10</v>
      </c>
      <c r="Q10" s="426" t="s">
        <v>15</v>
      </c>
      <c r="R10" s="426"/>
      <c r="S10" s="426"/>
      <c r="T10" s="426"/>
    </row>
    <row r="11" spans="1:20">
      <c r="A11" s="11"/>
      <c r="B11" s="12"/>
      <c r="C11" s="12"/>
      <c r="D11" s="13"/>
      <c r="E11" s="13"/>
      <c r="F11" s="14"/>
      <c r="G11" s="12"/>
      <c r="H11" s="12"/>
      <c r="I11" s="13"/>
      <c r="J11" s="13"/>
      <c r="K11" s="14"/>
      <c r="L11" s="15"/>
      <c r="M11" s="15"/>
      <c r="N11" s="13"/>
      <c r="O11" s="13"/>
      <c r="P11" s="15"/>
      <c r="Q11" s="14"/>
    </row>
    <row r="12" spans="1:20" ht="16.5" customHeight="1">
      <c r="A12" s="420" t="s">
        <v>16</v>
      </c>
      <c r="B12" s="420"/>
      <c r="C12" s="420"/>
      <c r="D12" s="420"/>
      <c r="E12" s="420"/>
      <c r="F12" s="16"/>
      <c r="G12" s="17"/>
      <c r="H12" s="18"/>
      <c r="I12" s="19"/>
      <c r="J12" s="19"/>
      <c r="L12" s="20"/>
      <c r="M12" s="20"/>
      <c r="N12" s="21"/>
      <c r="O12" s="21"/>
      <c r="P12" s="20"/>
      <c r="Q12" s="14"/>
    </row>
    <row r="13" spans="1:20">
      <c r="A13" s="22" t="s">
        <v>17</v>
      </c>
      <c r="B13" s="23" t="s">
        <v>18</v>
      </c>
      <c r="C13" s="24">
        <v>1</v>
      </c>
      <c r="D13" s="25">
        <v>11686.76</v>
      </c>
      <c r="E13" s="25">
        <f>C13*D13</f>
        <v>11686.76</v>
      </c>
      <c r="F13" s="26"/>
      <c r="G13" s="23" t="s">
        <v>18</v>
      </c>
      <c r="H13" s="27">
        <v>1</v>
      </c>
      <c r="I13" s="25">
        <v>11686.76</v>
      </c>
      <c r="J13" s="25">
        <f>H13*I13</f>
        <v>11686.76</v>
      </c>
      <c r="L13" s="28" t="s">
        <v>18</v>
      </c>
      <c r="M13" s="29">
        <v>1</v>
      </c>
      <c r="N13" s="25">
        <v>11686.76</v>
      </c>
      <c r="O13" s="25">
        <f>M13*N13</f>
        <v>11686.76</v>
      </c>
      <c r="P13" s="22" t="s">
        <v>17</v>
      </c>
      <c r="Q13" s="30"/>
      <c r="R13" s="31"/>
      <c r="S13" s="31"/>
      <c r="T13" s="32"/>
    </row>
    <row r="14" spans="1:20">
      <c r="A14" s="33" t="s">
        <v>19</v>
      </c>
      <c r="B14" s="23" t="s">
        <v>20</v>
      </c>
      <c r="C14" s="34">
        <v>1</v>
      </c>
      <c r="D14" s="35">
        <v>7945.86</v>
      </c>
      <c r="E14" s="35">
        <f>C14*D14</f>
        <v>7945.86</v>
      </c>
      <c r="G14" s="23" t="s">
        <v>20</v>
      </c>
      <c r="H14" s="36">
        <v>1</v>
      </c>
      <c r="I14" s="35">
        <v>7945.86</v>
      </c>
      <c r="J14" s="35">
        <f>H14*I14</f>
        <v>7945.86</v>
      </c>
      <c r="L14" s="28" t="s">
        <v>20</v>
      </c>
      <c r="M14" s="37">
        <v>1</v>
      </c>
      <c r="N14" s="35">
        <v>7945.86</v>
      </c>
      <c r="O14" s="35">
        <f>M14*N14</f>
        <v>7945.86</v>
      </c>
      <c r="P14" s="33" t="s">
        <v>21</v>
      </c>
      <c r="Q14" s="38"/>
      <c r="R14" s="14"/>
      <c r="S14" s="14"/>
      <c r="T14" s="39"/>
    </row>
    <row r="15" spans="1:20">
      <c r="A15" s="40"/>
      <c r="B15" s="23" t="s">
        <v>22</v>
      </c>
      <c r="C15" s="34">
        <v>0</v>
      </c>
      <c r="D15" s="41">
        <v>2984.45</v>
      </c>
      <c r="E15" s="25">
        <f>C15*D15</f>
        <v>0</v>
      </c>
      <c r="G15" s="23" t="s">
        <v>23</v>
      </c>
      <c r="H15" s="36">
        <v>0</v>
      </c>
      <c r="I15" s="41">
        <v>2984.45</v>
      </c>
      <c r="J15" s="25">
        <f>H15*I15</f>
        <v>0</v>
      </c>
      <c r="L15" s="23" t="s">
        <v>24</v>
      </c>
      <c r="M15" s="29"/>
      <c r="N15" s="41">
        <v>2984.45</v>
      </c>
      <c r="O15" s="35">
        <f>M15*N15</f>
        <v>0</v>
      </c>
      <c r="P15" s="42"/>
      <c r="Q15" s="43"/>
      <c r="R15" s="16"/>
      <c r="S15" s="16"/>
      <c r="T15" s="44"/>
    </row>
    <row r="16" spans="1:20">
      <c r="A16" s="45"/>
      <c r="B16" s="46"/>
      <c r="C16" s="47"/>
      <c r="D16" s="48"/>
      <c r="E16" s="49"/>
      <c r="F16" s="14"/>
      <c r="G16" s="46"/>
      <c r="H16" s="50"/>
      <c r="I16" s="48"/>
      <c r="J16" s="49"/>
      <c r="K16" s="14"/>
      <c r="L16" s="45"/>
      <c r="M16" s="50"/>
      <c r="N16" s="51"/>
      <c r="O16" s="49"/>
      <c r="P16" s="52"/>
      <c r="Q16" s="53"/>
      <c r="R16" s="14"/>
      <c r="S16" s="14"/>
      <c r="T16" s="14"/>
    </row>
    <row r="17" spans="1:20" ht="15" customHeight="1">
      <c r="A17" s="427" t="s">
        <v>25</v>
      </c>
      <c r="B17" s="427"/>
      <c r="C17" s="427"/>
      <c r="D17" s="427"/>
      <c r="E17" s="427"/>
      <c r="F17" s="427"/>
      <c r="G17" s="427"/>
      <c r="H17" s="427"/>
      <c r="I17" s="54"/>
      <c r="J17" s="54"/>
      <c r="Q17" s="55"/>
    </row>
    <row r="18" spans="1:20">
      <c r="A18" s="22" t="s">
        <v>26</v>
      </c>
      <c r="B18" s="23" t="s">
        <v>27</v>
      </c>
      <c r="C18" s="34">
        <v>1</v>
      </c>
      <c r="D18" s="41">
        <v>9106.74</v>
      </c>
      <c r="E18" s="25">
        <f>C18*D18</f>
        <v>9106.74</v>
      </c>
      <c r="G18" s="56" t="s">
        <v>28</v>
      </c>
      <c r="H18" s="57">
        <v>1</v>
      </c>
      <c r="I18" s="58">
        <v>10352.52</v>
      </c>
      <c r="J18" s="25">
        <f>H18*I18</f>
        <v>10352.52</v>
      </c>
      <c r="L18" s="56" t="s">
        <v>27</v>
      </c>
      <c r="M18" s="59">
        <v>1</v>
      </c>
      <c r="N18" s="41">
        <v>9106.74</v>
      </c>
      <c r="O18" s="35">
        <f>M18*N18</f>
        <v>9106.74</v>
      </c>
      <c r="P18" s="22" t="s">
        <v>29</v>
      </c>
      <c r="Q18" s="60" t="s">
        <v>30</v>
      </c>
      <c r="R18" s="61"/>
      <c r="S18" s="61"/>
      <c r="T18" s="62"/>
    </row>
    <row r="19" spans="1:20" hidden="1">
      <c r="A19" s="63"/>
      <c r="B19" s="23" t="s">
        <v>31</v>
      </c>
      <c r="C19" s="34">
        <v>0</v>
      </c>
      <c r="D19" s="41">
        <v>4726.7</v>
      </c>
      <c r="E19" s="35">
        <f>C19*D19</f>
        <v>0</v>
      </c>
      <c r="G19" s="23" t="s">
        <v>31</v>
      </c>
      <c r="H19" s="36">
        <v>4</v>
      </c>
      <c r="I19" s="41">
        <v>4726.7</v>
      </c>
      <c r="J19" s="35">
        <f>H19*I19</f>
        <v>18906.8</v>
      </c>
      <c r="L19" s="23" t="s">
        <v>31</v>
      </c>
      <c r="M19" s="64">
        <v>0</v>
      </c>
      <c r="N19" s="41">
        <v>4726.7</v>
      </c>
      <c r="O19" s="25">
        <f>M19*N19</f>
        <v>0</v>
      </c>
      <c r="P19" s="65"/>
      <c r="Q19" s="66" t="s">
        <v>32</v>
      </c>
      <c r="R19" s="67"/>
      <c r="S19" s="67"/>
      <c r="T19" s="68"/>
    </row>
    <row r="20" spans="1:20">
      <c r="A20" s="33" t="s">
        <v>33</v>
      </c>
      <c r="B20" s="23" t="s">
        <v>34</v>
      </c>
      <c r="C20" s="34">
        <v>1</v>
      </c>
      <c r="D20" s="41">
        <v>3434.43</v>
      </c>
      <c r="E20" s="35">
        <f>C20*D20</f>
        <v>3434.43</v>
      </c>
      <c r="G20" s="23" t="s">
        <v>34</v>
      </c>
      <c r="H20" s="36">
        <v>0</v>
      </c>
      <c r="I20" s="41">
        <v>3434.43</v>
      </c>
      <c r="J20" s="35">
        <f>H20*I20</f>
        <v>0</v>
      </c>
      <c r="L20" s="23" t="s">
        <v>34</v>
      </c>
      <c r="M20" s="59">
        <v>1</v>
      </c>
      <c r="N20" s="41">
        <v>3434.43</v>
      </c>
      <c r="O20" s="35">
        <f>M20*N20</f>
        <v>3434.43</v>
      </c>
      <c r="P20" s="33" t="s">
        <v>35</v>
      </c>
      <c r="Q20" s="66"/>
      <c r="R20" s="67"/>
      <c r="S20" s="67"/>
      <c r="T20" s="68"/>
    </row>
    <row r="21" spans="1:20">
      <c r="A21" s="69" t="s">
        <v>36</v>
      </c>
      <c r="B21" s="23" t="s">
        <v>24</v>
      </c>
      <c r="C21" s="34">
        <v>2</v>
      </c>
      <c r="D21" s="41">
        <v>2121.65</v>
      </c>
      <c r="E21" s="35">
        <f>C21*D21</f>
        <v>4243.3</v>
      </c>
      <c r="G21" s="23" t="s">
        <v>24</v>
      </c>
      <c r="H21" s="36">
        <v>0</v>
      </c>
      <c r="I21" s="41">
        <v>2121.65</v>
      </c>
      <c r="J21" s="35">
        <f>H21*I21</f>
        <v>0</v>
      </c>
      <c r="L21" s="23" t="s">
        <v>24</v>
      </c>
      <c r="M21" s="59">
        <v>2</v>
      </c>
      <c r="N21" s="41">
        <v>2121.65</v>
      </c>
      <c r="O21" s="35">
        <f>M21*N21</f>
        <v>4243.3</v>
      </c>
      <c r="P21" s="69" t="s">
        <v>36</v>
      </c>
      <c r="Q21" s="70" t="s">
        <v>37</v>
      </c>
      <c r="R21" s="71"/>
      <c r="S21" s="71"/>
      <c r="T21" s="72"/>
    </row>
    <row r="22" spans="1:20">
      <c r="A22" s="45"/>
      <c r="B22" s="46"/>
      <c r="C22" s="47"/>
      <c r="D22" s="48"/>
      <c r="E22" s="49"/>
      <c r="F22" s="14"/>
      <c r="G22" s="46"/>
      <c r="H22" s="50"/>
      <c r="I22" s="48"/>
      <c r="J22" s="49"/>
      <c r="K22" s="14"/>
      <c r="L22" s="45"/>
      <c r="M22" s="50"/>
      <c r="N22" s="51"/>
      <c r="O22" s="49"/>
      <c r="P22" s="52"/>
      <c r="Q22" s="53"/>
      <c r="R22" s="14"/>
      <c r="S22" s="14"/>
      <c r="T22" s="14"/>
    </row>
    <row r="23" spans="1:20" ht="15" customHeight="1">
      <c r="A23" s="416" t="s">
        <v>38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55"/>
    </row>
    <row r="24" spans="1:20">
      <c r="A24" s="73"/>
      <c r="B24" s="23" t="s">
        <v>27</v>
      </c>
      <c r="C24" s="34">
        <v>0</v>
      </c>
      <c r="D24" s="41">
        <v>9106.74</v>
      </c>
      <c r="E24" s="35">
        <f>C24*D24</f>
        <v>0</v>
      </c>
      <c r="F24" s="26"/>
      <c r="G24" s="56" t="s">
        <v>28</v>
      </c>
      <c r="H24" s="57">
        <v>1</v>
      </c>
      <c r="I24" s="41">
        <v>10352.52</v>
      </c>
      <c r="J24" s="35">
        <f>H24*I24</f>
        <v>10352.52</v>
      </c>
      <c r="K24" s="26"/>
      <c r="L24" s="56" t="s">
        <v>27</v>
      </c>
      <c r="M24" s="59">
        <v>0</v>
      </c>
      <c r="N24" s="41">
        <v>9106.74</v>
      </c>
      <c r="O24" s="35">
        <f>M24*N24</f>
        <v>0</v>
      </c>
      <c r="P24" s="22"/>
      <c r="Q24" s="60"/>
      <c r="R24" s="61"/>
      <c r="S24" s="61"/>
      <c r="T24" s="62"/>
    </row>
    <row r="25" spans="1:20">
      <c r="A25" s="33" t="s">
        <v>39</v>
      </c>
      <c r="B25" s="23" t="s">
        <v>31</v>
      </c>
      <c r="C25" s="34">
        <v>1</v>
      </c>
      <c r="D25" s="41">
        <v>4726.7</v>
      </c>
      <c r="E25" s="25">
        <f>C25*D25</f>
        <v>4726.7</v>
      </c>
      <c r="G25" s="23" t="s">
        <v>31</v>
      </c>
      <c r="H25" s="36">
        <v>3</v>
      </c>
      <c r="I25" s="41">
        <v>4726.7</v>
      </c>
      <c r="J25" s="25">
        <f>H25*I25</f>
        <v>14180.099999999999</v>
      </c>
      <c r="L25" s="23" t="s">
        <v>31</v>
      </c>
      <c r="M25" s="59">
        <v>1</v>
      </c>
      <c r="N25" s="41">
        <v>4726.7</v>
      </c>
      <c r="O25" s="25">
        <f>M25*N25</f>
        <v>4726.7</v>
      </c>
      <c r="P25" s="33" t="s">
        <v>39</v>
      </c>
      <c r="Q25" s="66" t="s">
        <v>40</v>
      </c>
      <c r="R25" s="67"/>
      <c r="S25" s="67"/>
      <c r="T25" s="68"/>
    </row>
    <row r="26" spans="1:20">
      <c r="A26" s="33" t="s">
        <v>35</v>
      </c>
      <c r="B26" s="23" t="s">
        <v>34</v>
      </c>
      <c r="C26" s="34">
        <v>2</v>
      </c>
      <c r="D26" s="41">
        <v>3434.43</v>
      </c>
      <c r="E26" s="35">
        <f>C26*D26</f>
        <v>6868.86</v>
      </c>
      <c r="G26" s="23" t="s">
        <v>34</v>
      </c>
      <c r="H26" s="36">
        <v>3</v>
      </c>
      <c r="I26" s="41">
        <v>3434.43</v>
      </c>
      <c r="J26" s="35">
        <f>H26*I26</f>
        <v>10303.289999999999</v>
      </c>
      <c r="L26" s="23" t="s">
        <v>34</v>
      </c>
      <c r="M26" s="59">
        <v>2</v>
      </c>
      <c r="N26" s="41">
        <v>3434.43</v>
      </c>
      <c r="O26" s="35">
        <f>M26*N26</f>
        <v>6868.86</v>
      </c>
      <c r="P26" s="33" t="s">
        <v>35</v>
      </c>
      <c r="Q26" s="66" t="s">
        <v>41</v>
      </c>
      <c r="R26" s="67"/>
      <c r="S26" s="67"/>
      <c r="T26" s="68"/>
    </row>
    <row r="27" spans="1:20">
      <c r="A27" s="33" t="s">
        <v>42</v>
      </c>
      <c r="B27" s="23" t="s">
        <v>24</v>
      </c>
      <c r="C27" s="34">
        <v>4</v>
      </c>
      <c r="D27" s="41">
        <v>2121.15</v>
      </c>
      <c r="E27" s="35">
        <f>C27*D27</f>
        <v>8484.6</v>
      </c>
      <c r="G27" s="23" t="s">
        <v>24</v>
      </c>
      <c r="H27" s="36">
        <v>0</v>
      </c>
      <c r="I27" s="41">
        <v>2121.15</v>
      </c>
      <c r="J27" s="35">
        <f>H27*I27</f>
        <v>0</v>
      </c>
      <c r="L27" s="23" t="s">
        <v>24</v>
      </c>
      <c r="M27" s="59">
        <v>4</v>
      </c>
      <c r="N27" s="41">
        <v>2121.15</v>
      </c>
      <c r="O27" s="35">
        <f>M27*N27</f>
        <v>8484.6</v>
      </c>
      <c r="P27" s="33" t="s">
        <v>42</v>
      </c>
      <c r="Q27" s="74" t="s">
        <v>43</v>
      </c>
      <c r="R27" s="67"/>
      <c r="S27" s="67"/>
      <c r="T27" s="68"/>
    </row>
    <row r="28" spans="1:20">
      <c r="A28" s="42" t="s">
        <v>44</v>
      </c>
      <c r="B28" s="23" t="s">
        <v>45</v>
      </c>
      <c r="C28" s="34">
        <v>2</v>
      </c>
      <c r="D28" s="75">
        <v>1567.95</v>
      </c>
      <c r="E28" s="35">
        <f>C28*D28</f>
        <v>3135.9</v>
      </c>
      <c r="G28" s="23" t="s">
        <v>45</v>
      </c>
      <c r="H28" s="36">
        <v>0</v>
      </c>
      <c r="I28" s="75">
        <v>1567.95</v>
      </c>
      <c r="J28" s="35">
        <f>H28*I28</f>
        <v>0</v>
      </c>
      <c r="L28" s="23" t="s">
        <v>45</v>
      </c>
      <c r="M28" s="76">
        <v>0</v>
      </c>
      <c r="N28" s="41">
        <v>1567.95</v>
      </c>
      <c r="O28" s="35">
        <f>M28*N28</f>
        <v>0</v>
      </c>
      <c r="P28" s="77" t="s">
        <v>46</v>
      </c>
      <c r="Q28" s="43"/>
      <c r="R28" s="71"/>
      <c r="S28" s="71"/>
      <c r="T28" s="72"/>
    </row>
    <row r="29" spans="1:20">
      <c r="A29" s="45"/>
      <c r="B29" s="46"/>
      <c r="C29" s="47"/>
      <c r="D29" s="48"/>
      <c r="E29" s="49"/>
      <c r="F29" s="14"/>
      <c r="G29" s="46"/>
      <c r="H29" s="50"/>
      <c r="I29" s="48"/>
      <c r="J29" s="49"/>
      <c r="K29" s="14"/>
      <c r="L29" s="45"/>
      <c r="M29" s="50"/>
      <c r="N29" s="51"/>
      <c r="O29" s="49"/>
      <c r="P29" s="49"/>
      <c r="Q29" s="55"/>
    </row>
    <row r="30" spans="1:20" ht="15" customHeight="1">
      <c r="A30" s="420" t="s">
        <v>47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Q30" s="55"/>
    </row>
    <row r="31" spans="1:20" ht="15.75" customHeight="1">
      <c r="A31" s="22" t="s">
        <v>48</v>
      </c>
      <c r="B31" s="23" t="s">
        <v>28</v>
      </c>
      <c r="C31" s="24">
        <v>1</v>
      </c>
      <c r="D31" s="58">
        <v>10352.52</v>
      </c>
      <c r="E31" s="25">
        <f>C31*D31</f>
        <v>10352.52</v>
      </c>
      <c r="G31" s="23" t="s">
        <v>28</v>
      </c>
      <c r="H31" s="57">
        <v>1</v>
      </c>
      <c r="I31" s="58">
        <v>10352.52</v>
      </c>
      <c r="J31" s="25">
        <f>H31*I31</f>
        <v>10352.52</v>
      </c>
      <c r="L31" s="5" t="s">
        <v>28</v>
      </c>
      <c r="M31" s="59">
        <v>1</v>
      </c>
      <c r="N31" s="41">
        <v>10352.52</v>
      </c>
      <c r="O31" s="35">
        <f>M31*N31</f>
        <v>10352.52</v>
      </c>
      <c r="P31" s="22" t="s">
        <v>48</v>
      </c>
      <c r="Q31" s="78" t="s">
        <v>49</v>
      </c>
      <c r="R31" s="61"/>
      <c r="S31" s="61"/>
      <c r="T31" s="62"/>
    </row>
    <row r="32" spans="1:20" ht="12.75" hidden="1" customHeight="1">
      <c r="A32" s="63"/>
      <c r="B32" s="23" t="s">
        <v>31</v>
      </c>
      <c r="C32" s="34">
        <v>0</v>
      </c>
      <c r="D32" s="41">
        <v>4726.7</v>
      </c>
      <c r="E32" s="35">
        <f>C32*D32</f>
        <v>0</v>
      </c>
      <c r="G32" s="23" t="s">
        <v>31</v>
      </c>
      <c r="H32" s="36">
        <v>1</v>
      </c>
      <c r="I32" s="41">
        <v>4726.7</v>
      </c>
      <c r="J32" s="35">
        <f>H32*I32</f>
        <v>4726.7</v>
      </c>
      <c r="L32" s="23" t="s">
        <v>31</v>
      </c>
      <c r="M32" s="79">
        <v>0</v>
      </c>
      <c r="N32" s="41">
        <v>4726.7</v>
      </c>
      <c r="O32" s="25">
        <f>M32*N32</f>
        <v>0</v>
      </c>
      <c r="P32" s="63"/>
      <c r="Q32" s="66"/>
      <c r="R32" s="67"/>
      <c r="S32" s="67"/>
      <c r="T32" s="68"/>
    </row>
    <row r="33" spans="1:20" ht="15.75" customHeight="1">
      <c r="A33" s="33" t="s">
        <v>50</v>
      </c>
      <c r="B33" s="23" t="s">
        <v>34</v>
      </c>
      <c r="C33" s="24">
        <v>1</v>
      </c>
      <c r="D33" s="41">
        <v>3434.43</v>
      </c>
      <c r="E33" s="35">
        <f>C33*D33</f>
        <v>3434.43</v>
      </c>
      <c r="G33" s="23" t="s">
        <v>34</v>
      </c>
      <c r="H33" s="27">
        <v>0</v>
      </c>
      <c r="I33" s="41">
        <v>3434.43</v>
      </c>
      <c r="J33" s="35">
        <f>H33*I33</f>
        <v>0</v>
      </c>
      <c r="L33" s="23" t="s">
        <v>34</v>
      </c>
      <c r="M33" s="59">
        <v>2</v>
      </c>
      <c r="N33" s="41">
        <v>3434.43</v>
      </c>
      <c r="O33" s="35">
        <f>M33*N33</f>
        <v>6868.86</v>
      </c>
      <c r="P33" s="33" t="s">
        <v>35</v>
      </c>
      <c r="Q33" s="66" t="s">
        <v>51</v>
      </c>
      <c r="R33" s="67"/>
      <c r="S33" s="67"/>
      <c r="T33" s="68"/>
    </row>
    <row r="34" spans="1:20" ht="15.75" customHeight="1">
      <c r="A34" s="42" t="s">
        <v>44</v>
      </c>
      <c r="B34" s="23" t="s">
        <v>45</v>
      </c>
      <c r="C34" s="34">
        <v>1</v>
      </c>
      <c r="D34" s="75">
        <v>1567.95</v>
      </c>
      <c r="E34" s="35">
        <f>C34*D34</f>
        <v>1567.95</v>
      </c>
      <c r="G34" s="23" t="s">
        <v>45</v>
      </c>
      <c r="H34" s="36">
        <v>0</v>
      </c>
      <c r="I34" s="75">
        <v>1567.95</v>
      </c>
      <c r="J34" s="80">
        <f>H34*I34</f>
        <v>0</v>
      </c>
      <c r="L34" s="23" t="s">
        <v>45</v>
      </c>
      <c r="M34" s="81">
        <v>0</v>
      </c>
      <c r="N34" s="41">
        <v>1567.95</v>
      </c>
      <c r="O34" s="80">
        <f>M34*N34</f>
        <v>0</v>
      </c>
      <c r="P34" s="42" t="s">
        <v>46</v>
      </c>
      <c r="Q34" s="43" t="s">
        <v>52</v>
      </c>
      <c r="R34" s="71"/>
      <c r="S34" s="71"/>
      <c r="T34" s="72"/>
    </row>
    <row r="35" spans="1:20" ht="15.75" customHeight="1">
      <c r="A35" s="45"/>
      <c r="B35" s="46"/>
      <c r="C35" s="47"/>
      <c r="D35" s="48"/>
      <c r="E35" s="49"/>
      <c r="F35" s="14"/>
      <c r="G35" s="46"/>
      <c r="H35" s="50"/>
      <c r="I35" s="48"/>
      <c r="J35" s="49"/>
      <c r="K35" s="14"/>
      <c r="L35" s="45"/>
      <c r="M35" s="50"/>
      <c r="N35" s="51"/>
      <c r="O35" s="49"/>
      <c r="P35" s="52"/>
      <c r="Q35" s="82"/>
      <c r="R35" s="14"/>
      <c r="S35" s="14"/>
      <c r="T35" s="14"/>
    </row>
    <row r="36" spans="1:20" ht="15" customHeight="1">
      <c r="A36" s="416" t="s">
        <v>53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Q36" s="55"/>
    </row>
    <row r="37" spans="1:20">
      <c r="A37" s="22" t="s">
        <v>26</v>
      </c>
      <c r="B37" s="23" t="s">
        <v>27</v>
      </c>
      <c r="C37" s="34">
        <v>1</v>
      </c>
      <c r="D37" s="58">
        <v>9106.74</v>
      </c>
      <c r="E37" s="25">
        <f>C37*D37</f>
        <v>9106.74</v>
      </c>
      <c r="G37" s="23" t="s">
        <v>27</v>
      </c>
      <c r="H37" s="27">
        <v>1</v>
      </c>
      <c r="I37" s="58">
        <v>9106.74</v>
      </c>
      <c r="J37" s="25">
        <f>H37*I37</f>
        <v>9106.74</v>
      </c>
      <c r="L37" s="56" t="s">
        <v>27</v>
      </c>
      <c r="M37" s="29">
        <v>1</v>
      </c>
      <c r="N37" s="41">
        <v>9106.74</v>
      </c>
      <c r="O37" s="35">
        <f>M37*N37</f>
        <v>9106.74</v>
      </c>
      <c r="P37" s="22" t="s">
        <v>26</v>
      </c>
      <c r="Q37" s="60"/>
      <c r="R37" s="61"/>
      <c r="S37" s="61"/>
      <c r="T37" s="62"/>
    </row>
    <row r="38" spans="1:20">
      <c r="A38" s="33" t="s">
        <v>54</v>
      </c>
      <c r="B38" s="23" t="s">
        <v>34</v>
      </c>
      <c r="C38" s="34">
        <v>2</v>
      </c>
      <c r="D38" s="41">
        <v>3434.43</v>
      </c>
      <c r="E38" s="35">
        <f>C38*D38</f>
        <v>6868.86</v>
      </c>
      <c r="G38" s="23" t="s">
        <v>34</v>
      </c>
      <c r="H38" s="36">
        <v>0</v>
      </c>
      <c r="I38" s="41">
        <v>3434.43</v>
      </c>
      <c r="J38" s="35">
        <f>H38*I38</f>
        <v>0</v>
      </c>
      <c r="L38" s="23" t="s">
        <v>34</v>
      </c>
      <c r="M38" s="29">
        <v>2</v>
      </c>
      <c r="N38" s="41">
        <v>3434.43</v>
      </c>
      <c r="O38" s="25">
        <f>M38*N38</f>
        <v>6868.86</v>
      </c>
      <c r="P38" s="33" t="s">
        <v>54</v>
      </c>
      <c r="Q38" s="66"/>
      <c r="R38" s="67"/>
      <c r="S38" s="67"/>
      <c r="T38" s="68"/>
    </row>
    <row r="39" spans="1:20">
      <c r="A39" s="69" t="s">
        <v>42</v>
      </c>
      <c r="B39" s="23" t="s">
        <v>24</v>
      </c>
      <c r="C39" s="34">
        <v>4</v>
      </c>
      <c r="D39" s="41">
        <v>2121.15</v>
      </c>
      <c r="E39" s="35">
        <f>C39*D39</f>
        <v>8484.6</v>
      </c>
      <c r="G39" s="23" t="s">
        <v>24</v>
      </c>
      <c r="H39" s="83">
        <v>0</v>
      </c>
      <c r="I39" s="41">
        <v>2121.15</v>
      </c>
      <c r="J39" s="35">
        <f>H39*I39</f>
        <v>0</v>
      </c>
      <c r="L39" s="23" t="s">
        <v>24</v>
      </c>
      <c r="M39" s="29">
        <v>4</v>
      </c>
      <c r="N39" s="41">
        <v>2121.15</v>
      </c>
      <c r="O39" s="35">
        <f>M39*N39</f>
        <v>8484.6</v>
      </c>
      <c r="P39" s="69" t="s">
        <v>42</v>
      </c>
      <c r="Q39" s="84"/>
      <c r="R39" s="71"/>
      <c r="S39" s="71"/>
      <c r="T39" s="72"/>
    </row>
    <row r="40" spans="1:20">
      <c r="A40" s="46"/>
      <c r="B40" s="46"/>
      <c r="C40" s="47"/>
      <c r="D40" s="48"/>
      <c r="E40" s="49"/>
      <c r="F40" s="14"/>
      <c r="G40" s="46"/>
      <c r="H40" s="50"/>
      <c r="I40" s="48"/>
      <c r="J40" s="49"/>
      <c r="K40" s="14"/>
      <c r="L40" s="45"/>
      <c r="M40" s="50"/>
      <c r="N40" s="51"/>
      <c r="O40" s="49"/>
      <c r="P40" s="52"/>
      <c r="Q40" s="85"/>
      <c r="R40" s="31"/>
      <c r="S40" s="31"/>
      <c r="T40" s="31"/>
    </row>
    <row r="41" spans="1:20" ht="15" customHeight="1">
      <c r="A41" s="416" t="s">
        <v>55</v>
      </c>
      <c r="B41" s="416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Q41" s="55"/>
    </row>
    <row r="42" spans="1:20">
      <c r="A42" s="22" t="s">
        <v>26</v>
      </c>
      <c r="B42" s="23" t="s">
        <v>27</v>
      </c>
      <c r="C42" s="24">
        <v>1</v>
      </c>
      <c r="D42" s="58">
        <v>9106.74</v>
      </c>
      <c r="E42" s="25">
        <f>C42*D42</f>
        <v>9106.74</v>
      </c>
      <c r="G42" s="23" t="s">
        <v>27</v>
      </c>
      <c r="H42" s="27">
        <v>1</v>
      </c>
      <c r="I42" s="58">
        <v>9106.74</v>
      </c>
      <c r="J42" s="25">
        <f>H42*I42</f>
        <v>9106.74</v>
      </c>
      <c r="L42" s="56" t="s">
        <v>27</v>
      </c>
      <c r="M42" s="29">
        <v>1</v>
      </c>
      <c r="N42" s="41">
        <v>9106.74</v>
      </c>
      <c r="O42" s="35">
        <f>M42*N42</f>
        <v>9106.74</v>
      </c>
      <c r="P42" s="22" t="s">
        <v>26</v>
      </c>
      <c r="Q42" s="60"/>
      <c r="R42" s="61"/>
      <c r="S42" s="61"/>
      <c r="T42" s="62"/>
    </row>
    <row r="43" spans="1:20">
      <c r="A43" s="33" t="s">
        <v>54</v>
      </c>
      <c r="B43" s="23" t="s">
        <v>34</v>
      </c>
      <c r="C43" s="34">
        <v>3</v>
      </c>
      <c r="D43" s="41">
        <v>3434.43</v>
      </c>
      <c r="E43" s="35">
        <f>C43*D43</f>
        <v>10303.289999999999</v>
      </c>
      <c r="G43" s="23" t="s">
        <v>34</v>
      </c>
      <c r="H43" s="36">
        <v>0</v>
      </c>
      <c r="I43" s="41">
        <v>3434.43</v>
      </c>
      <c r="J43" s="35">
        <f>H43*I43</f>
        <v>0</v>
      </c>
      <c r="L43" s="23" t="s">
        <v>34</v>
      </c>
      <c r="M43" s="29">
        <v>3</v>
      </c>
      <c r="N43" s="41">
        <v>3434.43</v>
      </c>
      <c r="O43" s="25">
        <f>M43*N43</f>
        <v>10303.289999999999</v>
      </c>
      <c r="P43" s="33" t="s">
        <v>54</v>
      </c>
      <c r="Q43" s="66"/>
      <c r="R43" s="67"/>
      <c r="S43" s="67"/>
      <c r="T43" s="68"/>
    </row>
    <row r="44" spans="1:20">
      <c r="A44" s="33" t="s">
        <v>42</v>
      </c>
      <c r="B44" s="23" t="s">
        <v>24</v>
      </c>
      <c r="C44" s="34">
        <v>3</v>
      </c>
      <c r="D44" s="41">
        <v>2121.15</v>
      </c>
      <c r="E44" s="35">
        <f>C44*D44</f>
        <v>6363.4500000000007</v>
      </c>
      <c r="G44" s="23" t="s">
        <v>24</v>
      </c>
      <c r="H44" s="36">
        <v>0</v>
      </c>
      <c r="I44" s="41">
        <v>2121.15</v>
      </c>
      <c r="J44" s="35">
        <f>H44*I44</f>
        <v>0</v>
      </c>
      <c r="L44" s="23" t="s">
        <v>24</v>
      </c>
      <c r="M44" s="29">
        <v>3</v>
      </c>
      <c r="N44" s="41">
        <v>2121.15</v>
      </c>
      <c r="O44" s="35">
        <f>M44*N44</f>
        <v>6363.4500000000007</v>
      </c>
      <c r="P44" s="33" t="s">
        <v>42</v>
      </c>
      <c r="Q44" s="66"/>
      <c r="R44" s="67"/>
      <c r="S44" s="67"/>
      <c r="T44" s="68"/>
    </row>
    <row r="45" spans="1:20">
      <c r="A45" s="42" t="s">
        <v>44</v>
      </c>
      <c r="B45" s="23" t="s">
        <v>45</v>
      </c>
      <c r="C45" s="86">
        <v>1</v>
      </c>
      <c r="D45" s="75">
        <v>1567.95</v>
      </c>
      <c r="E45" s="35">
        <f>C45*D45</f>
        <v>1567.95</v>
      </c>
      <c r="G45" s="23" t="s">
        <v>45</v>
      </c>
      <c r="H45" s="83">
        <v>0</v>
      </c>
      <c r="I45" s="75">
        <v>1567.95</v>
      </c>
      <c r="J45" s="35">
        <f>H45*I45</f>
        <v>0</v>
      </c>
      <c r="L45" s="23" t="s">
        <v>45</v>
      </c>
      <c r="M45" s="81">
        <v>0</v>
      </c>
      <c r="N45" s="41">
        <v>1567.95</v>
      </c>
      <c r="O45" s="35">
        <f>M45*N45</f>
        <v>0</v>
      </c>
      <c r="P45" s="42" t="s">
        <v>46</v>
      </c>
      <c r="Q45" s="43"/>
      <c r="R45" s="71"/>
      <c r="S45" s="71"/>
      <c r="T45" s="72"/>
    </row>
    <row r="46" spans="1:20">
      <c r="A46" s="46"/>
      <c r="B46" s="46"/>
      <c r="C46" s="47"/>
      <c r="D46" s="48"/>
      <c r="E46" s="49"/>
      <c r="F46" s="14"/>
      <c r="G46" s="46"/>
      <c r="H46" s="50"/>
      <c r="I46" s="48"/>
      <c r="J46" s="49"/>
      <c r="K46" s="14"/>
      <c r="L46" s="45"/>
      <c r="M46" s="50"/>
      <c r="N46" s="51"/>
      <c r="O46" s="49"/>
      <c r="P46" s="52"/>
      <c r="Q46" s="53"/>
      <c r="R46" s="14"/>
      <c r="S46" s="14"/>
      <c r="T46" s="14"/>
    </row>
    <row r="47" spans="1:20" ht="15" customHeight="1">
      <c r="A47" s="416" t="s">
        <v>56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16"/>
      <c r="O47" s="16"/>
      <c r="P47" s="16"/>
      <c r="Q47" s="55"/>
    </row>
    <row r="48" spans="1:20">
      <c r="A48" s="22" t="s">
        <v>26</v>
      </c>
      <c r="B48" s="23" t="s">
        <v>27</v>
      </c>
      <c r="C48" s="24">
        <v>1</v>
      </c>
      <c r="D48" s="58">
        <v>9106.74</v>
      </c>
      <c r="E48" s="25">
        <f>C48*D48</f>
        <v>9106.74</v>
      </c>
      <c r="G48" s="23" t="s">
        <v>27</v>
      </c>
      <c r="H48" s="27">
        <v>1</v>
      </c>
      <c r="I48" s="58">
        <v>9106.74</v>
      </c>
      <c r="J48" s="25">
        <f>H48*I48</f>
        <v>9106.74</v>
      </c>
      <c r="L48" s="56" t="s">
        <v>27</v>
      </c>
      <c r="M48" s="29">
        <v>1</v>
      </c>
      <c r="N48" s="41">
        <v>9106.74</v>
      </c>
      <c r="O48" s="35">
        <f>M48*N48</f>
        <v>9106.74</v>
      </c>
      <c r="P48" s="22" t="s">
        <v>26</v>
      </c>
      <c r="Q48" s="60"/>
      <c r="R48" s="61"/>
      <c r="S48" s="61"/>
      <c r="T48" s="62"/>
    </row>
    <row r="49" spans="1:22">
      <c r="A49" s="33" t="s">
        <v>54</v>
      </c>
      <c r="B49" s="23" t="s">
        <v>34</v>
      </c>
      <c r="C49" s="34">
        <v>2</v>
      </c>
      <c r="D49" s="41">
        <v>3434.43</v>
      </c>
      <c r="E49" s="35">
        <f>C49*D49</f>
        <v>6868.86</v>
      </c>
      <c r="G49" s="23" t="s">
        <v>34</v>
      </c>
      <c r="H49" s="36">
        <v>0</v>
      </c>
      <c r="I49" s="41">
        <v>3434.43</v>
      </c>
      <c r="J49" s="35">
        <f>H49*I49</f>
        <v>0</v>
      </c>
      <c r="L49" s="23" t="s">
        <v>34</v>
      </c>
      <c r="M49" s="59">
        <v>2</v>
      </c>
      <c r="N49" s="41">
        <v>3434.43</v>
      </c>
      <c r="O49" s="35">
        <f>M49*N49</f>
        <v>6868.86</v>
      </c>
      <c r="P49" s="33" t="s">
        <v>54</v>
      </c>
      <c r="Q49" s="66"/>
      <c r="R49" s="67"/>
      <c r="S49" s="67"/>
      <c r="T49" s="68"/>
    </row>
    <row r="50" spans="1:22">
      <c r="A50" s="69" t="s">
        <v>42</v>
      </c>
      <c r="B50" s="87" t="s">
        <v>24</v>
      </c>
      <c r="C50" s="86">
        <v>4</v>
      </c>
      <c r="D50" s="75">
        <v>2121.15</v>
      </c>
      <c r="E50" s="65">
        <f>C50*D50</f>
        <v>8484.6</v>
      </c>
      <c r="G50" s="87" t="s">
        <v>24</v>
      </c>
      <c r="H50" s="83">
        <v>0</v>
      </c>
      <c r="I50" s="75">
        <v>2121.15</v>
      </c>
      <c r="J50" s="35">
        <f>H50*I50</f>
        <v>0</v>
      </c>
      <c r="L50" s="23" t="s">
        <v>24</v>
      </c>
      <c r="M50" s="59">
        <v>4</v>
      </c>
      <c r="N50" s="41">
        <v>2121.15</v>
      </c>
      <c r="O50" s="25">
        <f>M50*N50</f>
        <v>8484.6</v>
      </c>
      <c r="P50" s="69" t="s">
        <v>42</v>
      </c>
      <c r="Q50" s="84"/>
      <c r="R50" s="71"/>
      <c r="S50" s="71"/>
      <c r="T50" s="72"/>
    </row>
    <row r="51" spans="1:22">
      <c r="A51" s="46"/>
      <c r="B51" s="46"/>
      <c r="C51" s="47"/>
      <c r="D51" s="48"/>
      <c r="E51" s="49"/>
      <c r="F51" s="14"/>
      <c r="G51" s="46"/>
      <c r="H51" s="50"/>
      <c r="I51" s="48"/>
      <c r="J51" s="49"/>
      <c r="K51" s="14"/>
      <c r="L51" s="45"/>
      <c r="M51" s="50"/>
      <c r="N51" s="51"/>
      <c r="O51" s="49"/>
      <c r="P51" s="52"/>
      <c r="Q51" s="53"/>
      <c r="R51" s="14"/>
      <c r="S51" s="14"/>
      <c r="T51" s="14"/>
    </row>
    <row r="52" spans="1:22" ht="15" customHeight="1">
      <c r="A52" s="420" t="s">
        <v>57</v>
      </c>
      <c r="B52" s="420"/>
      <c r="C52" s="420"/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Q52" s="55"/>
    </row>
    <row r="53" spans="1:22">
      <c r="A53" s="22" t="s">
        <v>26</v>
      </c>
      <c r="B53" s="23" t="s">
        <v>27</v>
      </c>
      <c r="C53" s="34">
        <v>1</v>
      </c>
      <c r="D53" s="58">
        <v>9106.74</v>
      </c>
      <c r="E53" s="25">
        <f>C53*D53</f>
        <v>9106.74</v>
      </c>
      <c r="G53" s="88" t="s">
        <v>28</v>
      </c>
      <c r="H53" s="89">
        <v>1</v>
      </c>
      <c r="I53" s="58">
        <v>10352.52</v>
      </c>
      <c r="J53" s="25">
        <f>H53*I53</f>
        <v>10352.52</v>
      </c>
      <c r="L53" s="56" t="s">
        <v>27</v>
      </c>
      <c r="M53" s="59">
        <v>1</v>
      </c>
      <c r="N53" s="41">
        <v>10352.52</v>
      </c>
      <c r="O53" s="35">
        <f>M53*N53</f>
        <v>10352.52</v>
      </c>
      <c r="P53" s="22" t="s">
        <v>26</v>
      </c>
      <c r="Q53" s="90"/>
      <c r="R53" s="91"/>
      <c r="S53" s="91"/>
      <c r="T53" s="92"/>
    </row>
    <row r="54" spans="1:22">
      <c r="A54" s="33"/>
      <c r="B54" s="23" t="s">
        <v>34</v>
      </c>
      <c r="C54" s="34">
        <v>0</v>
      </c>
      <c r="D54" s="41"/>
      <c r="E54" s="35"/>
      <c r="G54" s="56"/>
      <c r="H54" s="93"/>
      <c r="I54" s="41"/>
      <c r="J54" s="35"/>
      <c r="L54" s="23" t="s">
        <v>34</v>
      </c>
      <c r="M54" s="59">
        <v>1</v>
      </c>
      <c r="N54" s="41"/>
      <c r="O54" s="35"/>
      <c r="P54" s="33" t="s">
        <v>50</v>
      </c>
      <c r="Q54" s="94"/>
      <c r="R54" s="95"/>
      <c r="S54" s="95"/>
      <c r="T54" s="96"/>
    </row>
    <row r="55" spans="1:22" ht="15" customHeight="1">
      <c r="A55" s="33" t="s">
        <v>42</v>
      </c>
      <c r="B55" s="23" t="s">
        <v>24</v>
      </c>
      <c r="C55" s="34">
        <v>6</v>
      </c>
      <c r="D55" s="41">
        <v>2121.15</v>
      </c>
      <c r="E55" s="35">
        <f>C55*D55</f>
        <v>12726.900000000001</v>
      </c>
      <c r="G55" s="23" t="s">
        <v>24</v>
      </c>
      <c r="H55" s="36">
        <v>0</v>
      </c>
      <c r="I55" s="41">
        <v>2121.15</v>
      </c>
      <c r="J55" s="35">
        <f>H55*I55</f>
        <v>0</v>
      </c>
      <c r="L55" s="23" t="s">
        <v>24</v>
      </c>
      <c r="M55" s="59">
        <v>4</v>
      </c>
      <c r="N55" s="41"/>
      <c r="O55" s="35"/>
      <c r="P55" s="33" t="s">
        <v>42</v>
      </c>
      <c r="Q55" s="424"/>
      <c r="R55" s="424"/>
      <c r="S55" s="424"/>
      <c r="T55" s="424"/>
    </row>
    <row r="56" spans="1:22" ht="15" customHeight="1">
      <c r="A56" s="42"/>
      <c r="B56" s="23" t="s">
        <v>45</v>
      </c>
      <c r="C56" s="34">
        <v>0</v>
      </c>
      <c r="D56" s="41">
        <v>2121.15</v>
      </c>
      <c r="E56" s="35">
        <f>C56*D56</f>
        <v>0</v>
      </c>
      <c r="G56" s="23" t="s">
        <v>24</v>
      </c>
      <c r="H56" s="83">
        <v>0</v>
      </c>
      <c r="I56" s="41">
        <v>2121.15</v>
      </c>
      <c r="J56" s="35">
        <f>H56*I56</f>
        <v>0</v>
      </c>
      <c r="L56" s="23" t="s">
        <v>45</v>
      </c>
      <c r="M56" s="59">
        <v>1</v>
      </c>
      <c r="N56" s="41"/>
      <c r="O56" s="35"/>
      <c r="P56" s="42" t="s">
        <v>46</v>
      </c>
      <c r="Q56" s="425"/>
      <c r="R56" s="425"/>
      <c r="S56" s="425"/>
      <c r="T56" s="425"/>
    </row>
    <row r="57" spans="1:22">
      <c r="A57" s="46"/>
      <c r="B57" s="46"/>
      <c r="C57" s="47"/>
      <c r="D57" s="48"/>
      <c r="E57" s="49"/>
      <c r="F57" s="14"/>
      <c r="G57" s="46"/>
      <c r="H57" s="50"/>
      <c r="I57" s="48"/>
      <c r="J57" s="49"/>
      <c r="K57" s="14"/>
      <c r="L57" s="45"/>
      <c r="M57" s="50"/>
      <c r="N57" s="51"/>
      <c r="O57" s="49"/>
      <c r="P57" s="97"/>
      <c r="Q57" s="53"/>
      <c r="R57" s="14"/>
      <c r="S57" s="14"/>
      <c r="T57" s="14"/>
    </row>
    <row r="58" spans="1:22" ht="15" customHeight="1">
      <c r="A58" s="420" t="s">
        <v>58</v>
      </c>
      <c r="B58" s="420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Q58" s="55"/>
    </row>
    <row r="59" spans="1:22">
      <c r="A59" s="22" t="s">
        <v>26</v>
      </c>
      <c r="B59" s="23" t="s">
        <v>27</v>
      </c>
      <c r="C59" s="24">
        <v>1</v>
      </c>
      <c r="D59" s="58">
        <v>9106.74</v>
      </c>
      <c r="E59" s="25">
        <f>C59*D59</f>
        <v>9106.74</v>
      </c>
      <c r="G59" s="56" t="s">
        <v>28</v>
      </c>
      <c r="H59" s="57">
        <v>1</v>
      </c>
      <c r="I59" s="58">
        <v>10352.52</v>
      </c>
      <c r="J59" s="25">
        <f>H59*I59</f>
        <v>10352.52</v>
      </c>
      <c r="L59" s="56" t="s">
        <v>27</v>
      </c>
      <c r="M59" s="59">
        <v>1</v>
      </c>
      <c r="N59" s="41">
        <v>9106.74</v>
      </c>
      <c r="O59" s="35">
        <f>M59*N59</f>
        <v>9106.74</v>
      </c>
      <c r="P59" s="22" t="s">
        <v>26</v>
      </c>
      <c r="Q59" s="60"/>
      <c r="R59" s="61"/>
      <c r="S59" s="61"/>
      <c r="T59" s="62"/>
    </row>
    <row r="60" spans="1:22">
      <c r="A60" s="33" t="s">
        <v>35</v>
      </c>
      <c r="B60" s="23" t="s">
        <v>34</v>
      </c>
      <c r="C60" s="34">
        <v>5</v>
      </c>
      <c r="D60" s="41">
        <v>3434.43</v>
      </c>
      <c r="E60" s="35">
        <f>C60*D60</f>
        <v>17172.149999999998</v>
      </c>
      <c r="G60" s="23" t="s">
        <v>34</v>
      </c>
      <c r="H60" s="36">
        <v>0</v>
      </c>
      <c r="I60" s="41">
        <v>3434.43</v>
      </c>
      <c r="J60" s="35">
        <f>H60*I60</f>
        <v>0</v>
      </c>
      <c r="L60" s="23" t="s">
        <v>34</v>
      </c>
      <c r="M60" s="59">
        <v>5</v>
      </c>
      <c r="N60" s="41">
        <v>3434.43</v>
      </c>
      <c r="O60" s="35">
        <f>M60*N60</f>
        <v>17172.149999999998</v>
      </c>
      <c r="P60" s="33" t="s">
        <v>35</v>
      </c>
      <c r="Q60" s="66"/>
      <c r="R60" s="67"/>
      <c r="S60" s="67"/>
      <c r="T60" s="68"/>
      <c r="U60" s="98">
        <v>7945.86</v>
      </c>
      <c r="V60" s="99">
        <v>9106.74</v>
      </c>
    </row>
    <row r="61" spans="1:22">
      <c r="A61" s="33" t="s">
        <v>42</v>
      </c>
      <c r="B61" s="23" t="s">
        <v>24</v>
      </c>
      <c r="C61" s="34">
        <v>6</v>
      </c>
      <c r="D61" s="41">
        <v>2121.15</v>
      </c>
      <c r="E61" s="35">
        <f>C61*D61</f>
        <v>12726.900000000001</v>
      </c>
      <c r="G61" s="23" t="s">
        <v>24</v>
      </c>
      <c r="H61" s="36">
        <v>0</v>
      </c>
      <c r="I61" s="41">
        <v>2121.15</v>
      </c>
      <c r="J61" s="35">
        <f>H61*I61</f>
        <v>0</v>
      </c>
      <c r="L61" s="23" t="s">
        <v>24</v>
      </c>
      <c r="M61" s="59">
        <v>6</v>
      </c>
      <c r="N61" s="41">
        <v>2121.15</v>
      </c>
      <c r="O61" s="35">
        <f>M61*N61</f>
        <v>12726.900000000001</v>
      </c>
      <c r="P61" s="33" t="s">
        <v>42</v>
      </c>
      <c r="Q61" s="66"/>
      <c r="R61" s="67"/>
      <c r="S61" s="67"/>
      <c r="T61" s="68"/>
    </row>
    <row r="62" spans="1:22">
      <c r="A62" s="42" t="s">
        <v>44</v>
      </c>
      <c r="B62" s="23" t="s">
        <v>45</v>
      </c>
      <c r="C62" s="86">
        <v>4</v>
      </c>
      <c r="D62" s="75">
        <v>1567.95</v>
      </c>
      <c r="E62" s="35">
        <f>C62*D62</f>
        <v>6271.8</v>
      </c>
      <c r="G62" s="23" t="s">
        <v>45</v>
      </c>
      <c r="H62" s="83">
        <v>0</v>
      </c>
      <c r="I62" s="75">
        <v>1567.95</v>
      </c>
      <c r="J62" s="35">
        <f>H62*I62</f>
        <v>0</v>
      </c>
      <c r="L62" s="23" t="s">
        <v>45</v>
      </c>
      <c r="M62" s="76">
        <v>2</v>
      </c>
      <c r="N62" s="41">
        <v>1567.95</v>
      </c>
      <c r="O62" s="35">
        <f>M62*N62</f>
        <v>3135.9</v>
      </c>
      <c r="P62" s="42" t="s">
        <v>46</v>
      </c>
      <c r="Q62" s="43"/>
      <c r="R62" s="71"/>
      <c r="S62" s="71"/>
      <c r="T62" s="72"/>
    </row>
    <row r="63" spans="1:22">
      <c r="A63" s="46"/>
      <c r="B63" s="46"/>
      <c r="C63" s="47"/>
      <c r="D63" s="48"/>
      <c r="E63" s="49"/>
      <c r="F63" s="14"/>
      <c r="G63" s="46"/>
      <c r="H63" s="50"/>
      <c r="I63" s="48"/>
      <c r="J63" s="49"/>
      <c r="K63" s="14"/>
      <c r="L63" s="45"/>
      <c r="M63" s="50"/>
      <c r="N63" s="51"/>
      <c r="O63" s="49"/>
      <c r="P63" s="52"/>
      <c r="Q63" s="53"/>
      <c r="R63" s="14"/>
      <c r="S63" s="14"/>
      <c r="T63" s="14"/>
    </row>
    <row r="64" spans="1:22" ht="15" customHeight="1">
      <c r="A64" s="420" t="s">
        <v>59</v>
      </c>
      <c r="B64" s="420"/>
      <c r="C64" s="420"/>
      <c r="D64" s="420"/>
      <c r="E64" s="420"/>
      <c r="F64" s="420"/>
      <c r="G64" s="420"/>
      <c r="H64" s="420"/>
      <c r="I64" s="420"/>
      <c r="J64" s="420"/>
      <c r="K64" s="420"/>
      <c r="L64" s="420"/>
      <c r="M64" s="420"/>
      <c r="Q64" s="55"/>
    </row>
    <row r="65" spans="1:20">
      <c r="A65" s="22" t="s">
        <v>35</v>
      </c>
      <c r="B65" s="23" t="s">
        <v>34</v>
      </c>
      <c r="C65" s="24">
        <v>1</v>
      </c>
      <c r="D65" s="58">
        <v>3434.43</v>
      </c>
      <c r="E65" s="25">
        <f>C65*D65</f>
        <v>3434.43</v>
      </c>
      <c r="G65" s="56" t="s">
        <v>34</v>
      </c>
      <c r="H65" s="57">
        <v>0</v>
      </c>
      <c r="I65" s="58">
        <v>3434.43</v>
      </c>
      <c r="J65" s="25">
        <f>H65*I65</f>
        <v>0</v>
      </c>
      <c r="L65" s="23" t="s">
        <v>34</v>
      </c>
      <c r="M65" s="59">
        <v>1</v>
      </c>
      <c r="N65" s="41">
        <v>3434.43</v>
      </c>
      <c r="O65" s="35">
        <f>M65*N65</f>
        <v>3434.43</v>
      </c>
      <c r="P65" s="22" t="s">
        <v>35</v>
      </c>
      <c r="Q65" s="60"/>
      <c r="R65" s="61"/>
      <c r="S65" s="61"/>
      <c r="T65" s="62"/>
    </row>
    <row r="66" spans="1:20">
      <c r="A66" s="52" t="s">
        <v>42</v>
      </c>
      <c r="B66" s="23" t="s">
        <v>24</v>
      </c>
      <c r="C66" s="86">
        <v>1</v>
      </c>
      <c r="D66" s="41">
        <v>2121.15</v>
      </c>
      <c r="E66" s="35">
        <f>C66*D66</f>
        <v>2121.15</v>
      </c>
      <c r="G66" s="23" t="s">
        <v>24</v>
      </c>
      <c r="H66" s="83">
        <v>0</v>
      </c>
      <c r="I66" s="41">
        <v>2121.15</v>
      </c>
      <c r="J66" s="35">
        <f>H66*I66</f>
        <v>0</v>
      </c>
      <c r="L66" s="23" t="s">
        <v>24</v>
      </c>
      <c r="M66" s="59">
        <v>1</v>
      </c>
      <c r="N66" s="41"/>
      <c r="O66" s="35"/>
      <c r="P66" s="42" t="s">
        <v>42</v>
      </c>
      <c r="Q66" s="84"/>
      <c r="R66" s="71"/>
      <c r="S66" s="71"/>
      <c r="T66" s="72"/>
    </row>
    <row r="67" spans="1:20">
      <c r="A67" s="46"/>
      <c r="B67" s="46"/>
      <c r="C67" s="47"/>
      <c r="D67" s="48"/>
      <c r="E67" s="49"/>
      <c r="F67" s="14"/>
      <c r="G67" s="46"/>
      <c r="H67" s="50"/>
      <c r="I67" s="48"/>
      <c r="J67" s="49"/>
      <c r="K67" s="14"/>
      <c r="L67" s="45"/>
      <c r="M67" s="50"/>
      <c r="N67" s="51"/>
      <c r="O67" s="49"/>
      <c r="P67" s="52"/>
      <c r="Q67" s="53"/>
      <c r="R67" s="14"/>
      <c r="S67" s="14"/>
      <c r="T67" s="14"/>
    </row>
    <row r="68" spans="1:20" ht="15" customHeight="1">
      <c r="A68" s="420" t="s">
        <v>60</v>
      </c>
      <c r="B68" s="420"/>
      <c r="C68" s="420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Q68" s="55"/>
    </row>
    <row r="69" spans="1:20">
      <c r="A69" s="22" t="s">
        <v>61</v>
      </c>
      <c r="B69" s="23" t="s">
        <v>18</v>
      </c>
      <c r="C69" s="34">
        <v>1</v>
      </c>
      <c r="D69" s="25">
        <v>11686.76</v>
      </c>
      <c r="E69" s="100">
        <f>C69*D69</f>
        <v>11686.76</v>
      </c>
      <c r="G69" s="23" t="s">
        <v>18</v>
      </c>
      <c r="H69" s="27">
        <v>1</v>
      </c>
      <c r="I69" s="25">
        <v>11686.76</v>
      </c>
      <c r="J69" s="100">
        <f>H69*I69</f>
        <v>11686.76</v>
      </c>
      <c r="L69" s="28" t="s">
        <v>18</v>
      </c>
      <c r="M69" s="29">
        <v>1</v>
      </c>
      <c r="N69" s="35">
        <v>11686.76</v>
      </c>
      <c r="O69" s="101">
        <f>M69*N69</f>
        <v>11686.76</v>
      </c>
      <c r="P69" s="22" t="s">
        <v>61</v>
      </c>
      <c r="Q69" s="60"/>
      <c r="R69" s="61"/>
      <c r="S69" s="61"/>
      <c r="T69" s="62"/>
    </row>
    <row r="70" spans="1:20">
      <c r="A70" s="33" t="s">
        <v>62</v>
      </c>
      <c r="B70" s="23" t="s">
        <v>20</v>
      </c>
      <c r="C70" s="34">
        <v>1</v>
      </c>
      <c r="D70" s="41">
        <v>7945.86</v>
      </c>
      <c r="E70" s="25">
        <f>C70*D70</f>
        <v>7945.86</v>
      </c>
      <c r="G70" s="23" t="s">
        <v>20</v>
      </c>
      <c r="H70" s="36">
        <v>1</v>
      </c>
      <c r="I70" s="41">
        <v>7945.86</v>
      </c>
      <c r="J70" s="25">
        <f>H70*I70</f>
        <v>7945.86</v>
      </c>
      <c r="L70" s="102" t="s">
        <v>20</v>
      </c>
      <c r="M70" s="29">
        <v>1</v>
      </c>
      <c r="N70" s="41">
        <v>7945.86</v>
      </c>
      <c r="O70" s="35">
        <f>M70*N70</f>
        <v>7945.86</v>
      </c>
      <c r="P70" s="33" t="s">
        <v>62</v>
      </c>
      <c r="Q70" s="66"/>
      <c r="R70" s="67"/>
      <c r="S70" s="67"/>
      <c r="T70" s="68"/>
    </row>
    <row r="71" spans="1:20" ht="15" customHeight="1">
      <c r="A71" s="103" t="s">
        <v>63</v>
      </c>
      <c r="B71" s="23" t="s">
        <v>34</v>
      </c>
      <c r="C71" s="34">
        <v>2</v>
      </c>
      <c r="D71" s="41">
        <v>3434.43</v>
      </c>
      <c r="E71" s="35">
        <f>C71*D71</f>
        <v>6868.86</v>
      </c>
      <c r="G71" s="23" t="s">
        <v>34</v>
      </c>
      <c r="H71" s="36">
        <v>2</v>
      </c>
      <c r="I71" s="41">
        <v>3434.43</v>
      </c>
      <c r="J71" s="35">
        <f>H71*I71</f>
        <v>6868.86</v>
      </c>
      <c r="L71" s="23" t="s">
        <v>34</v>
      </c>
      <c r="M71" s="29">
        <v>2</v>
      </c>
      <c r="N71" s="41">
        <v>3434.43</v>
      </c>
      <c r="O71" s="35">
        <f>M71*N71</f>
        <v>6868.86</v>
      </c>
      <c r="P71" s="103" t="s">
        <v>63</v>
      </c>
      <c r="Q71" s="66"/>
      <c r="R71" s="67"/>
      <c r="S71" s="67"/>
      <c r="T71" s="68"/>
    </row>
    <row r="72" spans="1:20">
      <c r="A72" s="33" t="s">
        <v>42</v>
      </c>
      <c r="B72" s="23" t="s">
        <v>24</v>
      </c>
      <c r="C72" s="34">
        <v>7</v>
      </c>
      <c r="D72" s="41">
        <v>2121.65</v>
      </c>
      <c r="E72" s="35">
        <f>C72*D72</f>
        <v>14851.550000000001</v>
      </c>
      <c r="G72" s="23" t="s">
        <v>24</v>
      </c>
      <c r="H72" s="36">
        <v>2</v>
      </c>
      <c r="I72" s="41">
        <v>2121.65</v>
      </c>
      <c r="J72" s="35">
        <f>H72*I72</f>
        <v>4243.3</v>
      </c>
      <c r="L72" s="23" t="s">
        <v>24</v>
      </c>
      <c r="M72" s="29">
        <v>7</v>
      </c>
      <c r="N72" s="41">
        <v>2121.65</v>
      </c>
      <c r="O72" s="35">
        <f>M72*N72</f>
        <v>14851.550000000001</v>
      </c>
      <c r="P72" s="33" t="s">
        <v>42</v>
      </c>
      <c r="Q72" s="66"/>
      <c r="R72" s="67"/>
      <c r="S72" s="67"/>
      <c r="T72" s="68"/>
    </row>
    <row r="73" spans="1:20">
      <c r="A73" s="42" t="s">
        <v>44</v>
      </c>
      <c r="B73" s="23" t="s">
        <v>45</v>
      </c>
      <c r="C73" s="104">
        <v>2</v>
      </c>
      <c r="D73" s="75">
        <v>1567.95</v>
      </c>
      <c r="E73" s="35">
        <f>C73*D73</f>
        <v>3135.9</v>
      </c>
      <c r="F73" s="105"/>
      <c r="G73" s="23" t="s">
        <v>45</v>
      </c>
      <c r="H73" s="57">
        <v>0</v>
      </c>
      <c r="I73" s="41">
        <v>1567.95</v>
      </c>
      <c r="J73" s="35">
        <f>H73*I73</f>
        <v>0</v>
      </c>
      <c r="K73" s="105"/>
      <c r="L73" s="23" t="s">
        <v>45</v>
      </c>
      <c r="M73" s="106">
        <v>0</v>
      </c>
      <c r="N73" s="41">
        <v>1567.95</v>
      </c>
      <c r="O73" s="35">
        <f>M73*N73</f>
        <v>0</v>
      </c>
      <c r="P73" s="42" t="s">
        <v>46</v>
      </c>
      <c r="Q73" s="43"/>
      <c r="R73" s="71"/>
      <c r="S73" s="71"/>
      <c r="T73" s="72"/>
    </row>
    <row r="74" spans="1:20">
      <c r="A74" s="46"/>
      <c r="B74" s="46"/>
      <c r="C74" s="47"/>
      <c r="D74" s="48"/>
      <c r="E74" s="49"/>
      <c r="F74" s="14"/>
      <c r="G74" s="46"/>
      <c r="H74" s="50"/>
      <c r="I74" s="48"/>
      <c r="J74" s="49"/>
      <c r="K74" s="14"/>
      <c r="L74" s="45"/>
      <c r="M74" s="50"/>
      <c r="N74" s="51"/>
      <c r="O74" s="49"/>
      <c r="P74" s="49"/>
      <c r="Q74" s="55"/>
    </row>
    <row r="75" spans="1:20" ht="15" customHeight="1">
      <c r="A75" s="420" t="s">
        <v>64</v>
      </c>
      <c r="B75" s="420"/>
      <c r="C75" s="420"/>
      <c r="D75" s="420"/>
      <c r="E75" s="420"/>
      <c r="F75" s="420"/>
      <c r="G75" s="420"/>
      <c r="H75" s="420"/>
      <c r="I75" s="420"/>
      <c r="J75" s="420"/>
      <c r="K75" s="420"/>
      <c r="L75" s="420"/>
      <c r="M75" s="420"/>
      <c r="Q75" s="55"/>
    </row>
    <row r="76" spans="1:20">
      <c r="A76" s="26" t="s">
        <v>48</v>
      </c>
      <c r="B76" s="107" t="s">
        <v>28</v>
      </c>
      <c r="C76" s="108">
        <v>1</v>
      </c>
      <c r="D76" s="58">
        <v>10352.52</v>
      </c>
      <c r="E76" s="25">
        <f>C76*D76</f>
        <v>10352.52</v>
      </c>
      <c r="G76" s="23" t="s">
        <v>28</v>
      </c>
      <c r="H76" s="36">
        <v>1</v>
      </c>
      <c r="I76" s="41">
        <v>10352.52</v>
      </c>
      <c r="J76" s="35">
        <f>H76*I76</f>
        <v>10352.52</v>
      </c>
      <c r="L76" s="5" t="s">
        <v>28</v>
      </c>
      <c r="M76" s="29">
        <v>1</v>
      </c>
      <c r="N76" s="41">
        <v>10352.52</v>
      </c>
      <c r="O76" s="35">
        <f>M76*N76</f>
        <v>10352.52</v>
      </c>
      <c r="P76" s="26" t="s">
        <v>48</v>
      </c>
      <c r="Q76" s="60"/>
      <c r="R76" s="61"/>
      <c r="S76" s="61"/>
      <c r="T76" s="62"/>
    </row>
    <row r="77" spans="1:20">
      <c r="A77" s="4" t="s">
        <v>50</v>
      </c>
      <c r="B77" s="23" t="s">
        <v>34</v>
      </c>
      <c r="C77" s="104">
        <v>1</v>
      </c>
      <c r="D77" s="41">
        <v>3434.43</v>
      </c>
      <c r="E77" s="35">
        <f>C77*D77</f>
        <v>3434.43</v>
      </c>
      <c r="G77" s="23" t="s">
        <v>34</v>
      </c>
      <c r="H77" s="36">
        <v>0</v>
      </c>
      <c r="I77" s="41">
        <v>3434.43</v>
      </c>
      <c r="J77" s="25">
        <f>H77*I77</f>
        <v>0</v>
      </c>
      <c r="L77" s="23" t="s">
        <v>34</v>
      </c>
      <c r="M77" s="59">
        <v>1</v>
      </c>
      <c r="N77" s="41">
        <v>3434.43</v>
      </c>
      <c r="O77" s="35">
        <f>M77*N77</f>
        <v>3434.43</v>
      </c>
      <c r="P77" s="4" t="s">
        <v>50</v>
      </c>
      <c r="Q77" s="66"/>
      <c r="R77" s="67"/>
      <c r="S77" s="67"/>
      <c r="T77" s="68"/>
    </row>
    <row r="78" spans="1:20">
      <c r="A78" s="4" t="s">
        <v>65</v>
      </c>
      <c r="B78" s="23" t="s">
        <v>24</v>
      </c>
      <c r="C78" s="104">
        <v>2</v>
      </c>
      <c r="D78" s="41">
        <v>2121.65</v>
      </c>
      <c r="E78" s="35">
        <f>C78*D78</f>
        <v>4243.3</v>
      </c>
      <c r="G78" s="23" t="s">
        <v>24</v>
      </c>
      <c r="H78" s="36">
        <v>0</v>
      </c>
      <c r="I78" s="41">
        <v>2121.65</v>
      </c>
      <c r="J78" s="35">
        <f>H78*I78</f>
        <v>0</v>
      </c>
      <c r="L78" s="23" t="s">
        <v>24</v>
      </c>
      <c r="M78" s="59">
        <v>2</v>
      </c>
      <c r="N78" s="41">
        <v>2121.65</v>
      </c>
      <c r="O78" s="35">
        <f>M78*N78</f>
        <v>4243.3</v>
      </c>
      <c r="P78" s="4" t="s">
        <v>65</v>
      </c>
      <c r="Q78" s="66"/>
      <c r="R78" s="67"/>
      <c r="S78" s="67"/>
      <c r="T78" s="68"/>
    </row>
    <row r="79" spans="1:20">
      <c r="A79" s="109" t="s">
        <v>44</v>
      </c>
      <c r="B79" s="87" t="s">
        <v>45</v>
      </c>
      <c r="C79" s="110">
        <v>1</v>
      </c>
      <c r="D79" s="75">
        <v>1567.95</v>
      </c>
      <c r="E79" s="65">
        <f>C79*D79</f>
        <v>1567.95</v>
      </c>
      <c r="G79" s="87" t="s">
        <v>45</v>
      </c>
      <c r="H79" s="83">
        <v>0</v>
      </c>
      <c r="I79" s="75">
        <v>1567.95</v>
      </c>
      <c r="J79" s="35">
        <f>H79*I79</f>
        <v>0</v>
      </c>
      <c r="L79" s="23" t="s">
        <v>45</v>
      </c>
      <c r="M79" s="59">
        <v>1</v>
      </c>
      <c r="N79" s="41">
        <v>1567.95</v>
      </c>
      <c r="O79" s="35">
        <f>M79*N79</f>
        <v>1567.95</v>
      </c>
      <c r="P79" s="109" t="s">
        <v>46</v>
      </c>
      <c r="Q79" s="111"/>
      <c r="R79" s="16"/>
      <c r="S79" s="16"/>
      <c r="T79" s="44"/>
    </row>
    <row r="80" spans="1:20">
      <c r="A80" s="46"/>
      <c r="B80" s="46"/>
      <c r="C80" s="47"/>
      <c r="D80" s="48"/>
      <c r="E80" s="49"/>
      <c r="F80" s="14"/>
      <c r="G80" s="46"/>
      <c r="H80" s="50"/>
      <c r="I80" s="48"/>
      <c r="J80" s="49"/>
      <c r="K80" s="14"/>
      <c r="L80" s="45"/>
      <c r="M80" s="50"/>
      <c r="N80" s="51"/>
      <c r="O80" s="49"/>
      <c r="P80" s="14"/>
      <c r="Q80" s="53"/>
      <c r="R80" s="14"/>
      <c r="S80" s="14"/>
      <c r="T80" s="14"/>
    </row>
    <row r="81" spans="1:20" ht="15" customHeight="1">
      <c r="A81" s="416" t="s">
        <v>66</v>
      </c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Q81" s="55"/>
    </row>
    <row r="82" spans="1:20" ht="15" customHeight="1">
      <c r="A82" s="26" t="s">
        <v>26</v>
      </c>
      <c r="B82" s="107" t="s">
        <v>27</v>
      </c>
      <c r="C82" s="108">
        <v>1</v>
      </c>
      <c r="D82" s="58">
        <v>9106.74</v>
      </c>
      <c r="E82" s="25">
        <f>C82*D82</f>
        <v>9106.74</v>
      </c>
      <c r="G82" s="107" t="s">
        <v>27</v>
      </c>
      <c r="H82" s="112">
        <v>0</v>
      </c>
      <c r="I82" s="58">
        <v>9106.74</v>
      </c>
      <c r="J82" s="35">
        <f>H82*I82</f>
        <v>0</v>
      </c>
      <c r="L82" s="56" t="s">
        <v>27</v>
      </c>
      <c r="M82" s="29">
        <v>1</v>
      </c>
      <c r="N82" s="41">
        <v>9106.74</v>
      </c>
      <c r="O82" s="35">
        <f>M82*N82</f>
        <v>9106.74</v>
      </c>
      <c r="P82" s="26" t="s">
        <v>26</v>
      </c>
      <c r="Q82" s="422"/>
      <c r="R82" s="422"/>
      <c r="S82" s="422"/>
      <c r="T82" s="422"/>
    </row>
    <row r="83" spans="1:20">
      <c r="A83" s="4" t="s">
        <v>67</v>
      </c>
      <c r="B83" s="23" t="s">
        <v>34</v>
      </c>
      <c r="C83" s="104">
        <v>5</v>
      </c>
      <c r="D83" s="41">
        <v>3434.43</v>
      </c>
      <c r="E83" s="35">
        <f>C83*D83</f>
        <v>17172.149999999998</v>
      </c>
      <c r="G83" s="23" t="s">
        <v>34</v>
      </c>
      <c r="H83" s="113">
        <v>0</v>
      </c>
      <c r="I83" s="41">
        <v>3434.43</v>
      </c>
      <c r="J83" s="35">
        <f>H83*I83</f>
        <v>0</v>
      </c>
      <c r="L83" s="23" t="s">
        <v>34</v>
      </c>
      <c r="M83" s="29">
        <v>5</v>
      </c>
      <c r="N83" s="41">
        <v>3434.43</v>
      </c>
      <c r="O83" s="35">
        <f>M83*N83</f>
        <v>17172.149999999998</v>
      </c>
      <c r="P83" s="4" t="s">
        <v>67</v>
      </c>
      <c r="Q83" s="66"/>
      <c r="R83" s="95"/>
      <c r="S83" s="95"/>
      <c r="T83" s="96"/>
    </row>
    <row r="84" spans="1:20">
      <c r="A84" s="4" t="s">
        <v>68</v>
      </c>
      <c r="B84" s="23" t="s">
        <v>24</v>
      </c>
      <c r="C84" s="104">
        <v>7</v>
      </c>
      <c r="D84" s="41">
        <v>2121.65</v>
      </c>
      <c r="E84" s="35">
        <f>C84*D84</f>
        <v>14851.550000000001</v>
      </c>
      <c r="G84" s="23" t="s">
        <v>24</v>
      </c>
      <c r="H84" s="113">
        <v>0</v>
      </c>
      <c r="I84" s="41">
        <v>2121.65</v>
      </c>
      <c r="J84" s="35">
        <f>H84*I84</f>
        <v>0</v>
      </c>
      <c r="L84" s="23" t="s">
        <v>24</v>
      </c>
      <c r="M84" s="29">
        <v>7</v>
      </c>
      <c r="N84" s="41">
        <v>2984.45</v>
      </c>
      <c r="O84" s="35">
        <f>M84*N84</f>
        <v>20891.149999999998</v>
      </c>
      <c r="P84" s="4" t="s">
        <v>68</v>
      </c>
      <c r="Q84" s="66"/>
      <c r="R84" s="67"/>
      <c r="S84" s="67"/>
      <c r="T84" s="68"/>
    </row>
    <row r="85" spans="1:20" ht="15" customHeight="1">
      <c r="A85" s="109" t="s">
        <v>44</v>
      </c>
      <c r="B85" s="87" t="s">
        <v>45</v>
      </c>
      <c r="C85" s="110">
        <v>1</v>
      </c>
      <c r="D85" s="75">
        <v>1567.95</v>
      </c>
      <c r="E85" s="35">
        <f>C85*D85</f>
        <v>1567.95</v>
      </c>
      <c r="G85" s="23" t="s">
        <v>45</v>
      </c>
      <c r="H85" s="113">
        <v>0</v>
      </c>
      <c r="I85" s="41">
        <v>1567.95</v>
      </c>
      <c r="J85" s="35">
        <f>H85*I85</f>
        <v>0</v>
      </c>
      <c r="L85" s="23" t="s">
        <v>45</v>
      </c>
      <c r="M85" s="81">
        <v>0</v>
      </c>
      <c r="N85" s="41">
        <v>1567.95</v>
      </c>
      <c r="O85" s="35">
        <f>M85*N85</f>
        <v>0</v>
      </c>
      <c r="P85" s="109" t="s">
        <v>46</v>
      </c>
      <c r="Q85" s="423"/>
      <c r="R85" s="423"/>
      <c r="S85" s="114"/>
      <c r="T85" s="115"/>
    </row>
    <row r="86" spans="1:20">
      <c r="A86" s="46"/>
      <c r="B86" s="46"/>
      <c r="C86" s="47"/>
      <c r="D86" s="48"/>
      <c r="E86" s="49"/>
      <c r="F86" s="14"/>
      <c r="G86" s="46"/>
      <c r="H86" s="50"/>
      <c r="I86" s="48"/>
      <c r="J86" s="49"/>
      <c r="K86" s="14"/>
      <c r="L86" s="45"/>
      <c r="M86" s="50"/>
      <c r="N86" s="51"/>
      <c r="O86" s="49"/>
      <c r="P86" s="14"/>
      <c r="Q86" s="116"/>
      <c r="R86" s="116"/>
      <c r="S86" s="116"/>
      <c r="T86" s="116"/>
    </row>
    <row r="87" spans="1:20" ht="15" customHeight="1">
      <c r="A87" s="416" t="s">
        <v>69</v>
      </c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Q87" s="55"/>
    </row>
    <row r="88" spans="1:20">
      <c r="A88" s="26" t="s">
        <v>39</v>
      </c>
      <c r="B88" s="23" t="s">
        <v>31</v>
      </c>
      <c r="C88" s="104">
        <v>1</v>
      </c>
      <c r="D88" s="41">
        <v>4726.7</v>
      </c>
      <c r="E88" s="25">
        <f>C88*D88</f>
        <v>4726.7</v>
      </c>
      <c r="G88" s="23" t="s">
        <v>31</v>
      </c>
      <c r="H88" s="57">
        <v>1</v>
      </c>
      <c r="I88" s="41">
        <v>4726.7</v>
      </c>
      <c r="J88" s="35">
        <f>H88*I88</f>
        <v>4726.7</v>
      </c>
      <c r="L88" s="23" t="s">
        <v>31</v>
      </c>
      <c r="M88" s="29">
        <v>1</v>
      </c>
      <c r="N88" s="41">
        <v>4726.7</v>
      </c>
      <c r="O88" s="35">
        <f>M88*N88</f>
        <v>4726.7</v>
      </c>
      <c r="P88" s="26" t="s">
        <v>39</v>
      </c>
      <c r="Q88" s="60"/>
      <c r="R88" s="61"/>
      <c r="S88" s="61"/>
      <c r="T88" s="62"/>
    </row>
    <row r="89" spans="1:20">
      <c r="A89" s="4" t="s">
        <v>42</v>
      </c>
      <c r="B89" s="23" t="s">
        <v>24</v>
      </c>
      <c r="C89" s="104">
        <v>1</v>
      </c>
      <c r="D89" s="41">
        <v>2121.15</v>
      </c>
      <c r="E89" s="35">
        <f>C89*D89</f>
        <v>2121.15</v>
      </c>
      <c r="G89" s="23" t="s">
        <v>24</v>
      </c>
      <c r="H89" s="57">
        <v>0</v>
      </c>
      <c r="I89" s="41">
        <v>2121.15</v>
      </c>
      <c r="J89" s="35">
        <f>H89*I89</f>
        <v>0</v>
      </c>
      <c r="L89" s="23" t="s">
        <v>24</v>
      </c>
      <c r="M89" s="29">
        <v>1</v>
      </c>
      <c r="N89" s="41">
        <v>2984.45</v>
      </c>
      <c r="O89" s="35">
        <f>M89*N89</f>
        <v>2984.45</v>
      </c>
      <c r="P89" s="4" t="s">
        <v>42</v>
      </c>
      <c r="Q89" s="66"/>
      <c r="R89" s="67"/>
      <c r="S89" s="67"/>
      <c r="T89" s="68"/>
    </row>
    <row r="90" spans="1:20">
      <c r="A90" s="109" t="s">
        <v>44</v>
      </c>
      <c r="B90" s="23" t="s">
        <v>45</v>
      </c>
      <c r="C90" s="104">
        <v>1</v>
      </c>
      <c r="D90" s="75">
        <v>1567.95</v>
      </c>
      <c r="E90" s="35">
        <f>C90*D90</f>
        <v>1567.95</v>
      </c>
      <c r="G90" s="23" t="s">
        <v>45</v>
      </c>
      <c r="H90" s="57">
        <v>0</v>
      </c>
      <c r="I90" s="41">
        <v>1567.95</v>
      </c>
      <c r="J90" s="35">
        <f>H90*I90</f>
        <v>0</v>
      </c>
      <c r="L90" s="23" t="s">
        <v>45</v>
      </c>
      <c r="M90" s="29">
        <v>1</v>
      </c>
      <c r="N90" s="41">
        <v>1567.95</v>
      </c>
      <c r="O90" s="35">
        <f>M90*N90</f>
        <v>1567.95</v>
      </c>
      <c r="P90" s="109" t="s">
        <v>46</v>
      </c>
      <c r="Q90" s="43"/>
      <c r="R90" s="71"/>
      <c r="S90" s="71"/>
      <c r="T90" s="72"/>
    </row>
    <row r="91" spans="1:20">
      <c r="A91" s="46"/>
      <c r="B91" s="46"/>
      <c r="C91" s="47"/>
      <c r="D91" s="48"/>
      <c r="E91" s="49"/>
      <c r="F91" s="14"/>
      <c r="G91" s="46"/>
      <c r="H91" s="50"/>
      <c r="I91" s="48"/>
      <c r="J91" s="49"/>
      <c r="K91" s="14"/>
      <c r="L91" s="45"/>
      <c r="M91" s="50"/>
      <c r="N91" s="46"/>
      <c r="O91" s="46"/>
      <c r="P91" s="49"/>
      <c r="Q91" s="55"/>
    </row>
    <row r="92" spans="1:20" ht="15" customHeight="1">
      <c r="A92" s="416" t="s">
        <v>70</v>
      </c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Q92" s="55"/>
    </row>
    <row r="93" spans="1:20">
      <c r="A93" s="26" t="s">
        <v>39</v>
      </c>
      <c r="B93" s="107" t="s">
        <v>31</v>
      </c>
      <c r="C93" s="108">
        <v>1</v>
      </c>
      <c r="D93" s="41">
        <v>4726.7</v>
      </c>
      <c r="E93" s="25">
        <f>C93*D93</f>
        <v>4726.7</v>
      </c>
      <c r="G93" s="23" t="s">
        <v>31</v>
      </c>
      <c r="H93" s="57">
        <v>1</v>
      </c>
      <c r="I93" s="41">
        <v>4726.7</v>
      </c>
      <c r="J93" s="35">
        <f>H93*I93</f>
        <v>4726.7</v>
      </c>
      <c r="L93" s="107" t="s">
        <v>31</v>
      </c>
      <c r="M93" s="29">
        <v>1</v>
      </c>
      <c r="N93" s="41">
        <v>4726.7</v>
      </c>
      <c r="O93" s="35">
        <f>M93*N93</f>
        <v>4726.7</v>
      </c>
      <c r="P93" s="26" t="s">
        <v>39</v>
      </c>
      <c r="Q93" s="60"/>
      <c r="R93" s="31"/>
      <c r="S93" s="31"/>
      <c r="T93" s="32"/>
    </row>
    <row r="94" spans="1:20">
      <c r="A94" s="4" t="s">
        <v>42</v>
      </c>
      <c r="B94" s="23" t="s">
        <v>24</v>
      </c>
      <c r="C94" s="34">
        <v>3</v>
      </c>
      <c r="D94" s="41">
        <v>2984.45</v>
      </c>
      <c r="E94" s="35">
        <f>C94*D94</f>
        <v>8953.3499999999985</v>
      </c>
      <c r="G94" s="23" t="s">
        <v>23</v>
      </c>
      <c r="H94" s="27">
        <v>0</v>
      </c>
      <c r="I94" s="41">
        <v>2984.45</v>
      </c>
      <c r="J94" s="25">
        <f>H94*I94</f>
        <v>0</v>
      </c>
      <c r="L94" s="23" t="s">
        <v>24</v>
      </c>
      <c r="M94" s="29">
        <v>3</v>
      </c>
      <c r="N94" s="41"/>
      <c r="O94" s="35"/>
      <c r="P94" s="109" t="s">
        <v>42</v>
      </c>
      <c r="Q94" s="111"/>
      <c r="R94" s="16"/>
      <c r="S94" s="16"/>
      <c r="T94" s="44"/>
    </row>
    <row r="95" spans="1:20">
      <c r="A95" s="46"/>
      <c r="B95" s="46"/>
      <c r="C95" s="47"/>
      <c r="D95" s="48"/>
      <c r="E95" s="49"/>
      <c r="F95" s="14"/>
      <c r="G95" s="46"/>
      <c r="H95" s="50"/>
      <c r="I95" s="48"/>
      <c r="J95" s="49"/>
      <c r="K95" s="14"/>
      <c r="L95" s="45"/>
      <c r="M95" s="50"/>
      <c r="N95" s="51"/>
      <c r="O95" s="49"/>
      <c r="P95" s="14"/>
      <c r="Q95" s="53"/>
      <c r="R95" s="14"/>
      <c r="S95" s="14"/>
      <c r="T95" s="14"/>
    </row>
    <row r="96" spans="1:20" ht="15" customHeight="1">
      <c r="A96" s="416" t="s">
        <v>71</v>
      </c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Q96" s="55"/>
    </row>
    <row r="97" spans="1:20">
      <c r="A97" s="26" t="s">
        <v>39</v>
      </c>
      <c r="B97" s="23" t="s">
        <v>31</v>
      </c>
      <c r="C97" s="104">
        <v>1</v>
      </c>
      <c r="D97" s="58">
        <v>4726.7</v>
      </c>
      <c r="E97" s="25">
        <f>C97*D97</f>
        <v>4726.7</v>
      </c>
      <c r="G97" s="107" t="s">
        <v>31</v>
      </c>
      <c r="H97" s="89">
        <v>1</v>
      </c>
      <c r="I97" s="58">
        <v>4726.7</v>
      </c>
      <c r="J97" s="35">
        <f>H97*I97</f>
        <v>4726.7</v>
      </c>
      <c r="L97" s="23" t="s">
        <v>31</v>
      </c>
      <c r="M97" s="59">
        <v>1</v>
      </c>
      <c r="N97" s="41">
        <v>4726.7</v>
      </c>
      <c r="O97" s="35">
        <f>M97*N97</f>
        <v>4726.7</v>
      </c>
      <c r="P97" s="26" t="s">
        <v>39</v>
      </c>
      <c r="Q97" s="60"/>
      <c r="R97" s="61"/>
      <c r="S97" s="61"/>
      <c r="T97" s="62"/>
    </row>
    <row r="98" spans="1:20" ht="15" customHeight="1">
      <c r="A98" s="4" t="s">
        <v>42</v>
      </c>
      <c r="B98" s="23" t="s">
        <v>24</v>
      </c>
      <c r="C98" s="104">
        <v>4</v>
      </c>
      <c r="D98" s="41">
        <v>2121.15</v>
      </c>
      <c r="E98" s="35">
        <f>C98*D98</f>
        <v>8484.6</v>
      </c>
      <c r="G98" s="23" t="s">
        <v>24</v>
      </c>
      <c r="H98" s="57">
        <v>0</v>
      </c>
      <c r="I98" s="41">
        <v>2121.15</v>
      </c>
      <c r="J98" s="35">
        <f>H98*I98</f>
        <v>0</v>
      </c>
      <c r="L98" s="23" t="s">
        <v>24</v>
      </c>
      <c r="M98" s="59">
        <v>4</v>
      </c>
      <c r="N98" s="41">
        <v>2121.15</v>
      </c>
      <c r="O98" s="35">
        <f>M98*N98</f>
        <v>8484.6</v>
      </c>
      <c r="P98" s="4" t="s">
        <v>42</v>
      </c>
      <c r="Q98" s="421"/>
      <c r="R98" s="421"/>
      <c r="S98" s="421"/>
      <c r="T98" s="421"/>
    </row>
    <row r="99" spans="1:20">
      <c r="A99" s="109" t="s">
        <v>44</v>
      </c>
      <c r="B99" s="23" t="s">
        <v>45</v>
      </c>
      <c r="C99" s="104">
        <v>1</v>
      </c>
      <c r="D99" s="75">
        <v>1567.95</v>
      </c>
      <c r="E99" s="35">
        <f>C99*D99</f>
        <v>1567.95</v>
      </c>
      <c r="G99" s="23" t="s">
        <v>45</v>
      </c>
      <c r="H99" s="57">
        <v>0</v>
      </c>
      <c r="I99" s="41">
        <v>1567.95</v>
      </c>
      <c r="J99" s="35">
        <f>H99*I99</f>
        <v>0</v>
      </c>
      <c r="L99" s="23" t="s">
        <v>45</v>
      </c>
      <c r="M99" s="81">
        <v>0</v>
      </c>
      <c r="N99" s="41">
        <v>1567.95</v>
      </c>
      <c r="O99" s="35">
        <f>M99*N99</f>
        <v>0</v>
      </c>
      <c r="P99" s="109" t="s">
        <v>46</v>
      </c>
      <c r="Q99" s="43"/>
      <c r="R99" s="71"/>
      <c r="S99" s="71"/>
      <c r="T99" s="72"/>
    </row>
    <row r="100" spans="1:20" ht="12.75" hidden="1" customHeight="1">
      <c r="A100" s="418" t="s">
        <v>72</v>
      </c>
      <c r="B100" s="418"/>
      <c r="C100" s="418"/>
      <c r="D100" s="418"/>
      <c r="E100" s="418"/>
      <c r="F100" s="418"/>
      <c r="G100" s="418"/>
      <c r="H100" s="418"/>
      <c r="I100" s="418"/>
      <c r="Q100" s="55"/>
    </row>
    <row r="101" spans="1:20" hidden="1">
      <c r="A101" s="117"/>
      <c r="B101" s="107" t="s">
        <v>31</v>
      </c>
      <c r="C101" s="108">
        <v>0</v>
      </c>
      <c r="D101" s="58">
        <v>4726.7</v>
      </c>
      <c r="E101" s="25">
        <f>C101*D101</f>
        <v>0</v>
      </c>
      <c r="G101" s="107" t="s">
        <v>31</v>
      </c>
      <c r="H101" s="89">
        <v>0</v>
      </c>
      <c r="I101" s="58">
        <v>4726.7</v>
      </c>
      <c r="J101" s="35">
        <f>H101*I101</f>
        <v>0</v>
      </c>
      <c r="L101" s="23" t="s">
        <v>31</v>
      </c>
      <c r="M101" s="118">
        <v>0</v>
      </c>
      <c r="N101" s="41">
        <v>4726.7</v>
      </c>
      <c r="O101" s="35">
        <f>M101*N101</f>
        <v>0</v>
      </c>
      <c r="P101" s="49"/>
      <c r="Q101" s="55"/>
    </row>
    <row r="102" spans="1:20" ht="12.75" hidden="1" customHeight="1">
      <c r="A102" s="418" t="s">
        <v>73</v>
      </c>
      <c r="B102" s="418"/>
      <c r="C102" s="418"/>
      <c r="D102" s="418"/>
      <c r="E102" s="418"/>
      <c r="F102" s="418"/>
      <c r="G102" s="418"/>
      <c r="H102" s="418"/>
      <c r="I102" s="418"/>
      <c r="Q102" s="55"/>
    </row>
    <row r="103" spans="1:20" hidden="1">
      <c r="A103" s="117"/>
      <c r="B103" s="107" t="s">
        <v>31</v>
      </c>
      <c r="C103" s="108">
        <v>0</v>
      </c>
      <c r="D103" s="58">
        <v>4726.7</v>
      </c>
      <c r="E103" s="25">
        <f>C103*D103</f>
        <v>0</v>
      </c>
      <c r="G103" s="107" t="s">
        <v>31</v>
      </c>
      <c r="H103" s="89">
        <v>0</v>
      </c>
      <c r="I103" s="58">
        <v>4726.7</v>
      </c>
      <c r="J103" s="35">
        <f>H103*I103</f>
        <v>0</v>
      </c>
      <c r="L103" s="23" t="s">
        <v>31</v>
      </c>
      <c r="M103" s="118">
        <v>0</v>
      </c>
      <c r="N103" s="41">
        <v>4726.7</v>
      </c>
      <c r="O103" s="35">
        <f>M103*N103</f>
        <v>0</v>
      </c>
      <c r="P103" s="49"/>
      <c r="Q103" s="55"/>
    </row>
    <row r="104" spans="1:20" ht="12.75" hidden="1" customHeight="1">
      <c r="A104" s="418" t="s">
        <v>74</v>
      </c>
      <c r="B104" s="418"/>
      <c r="C104" s="418"/>
      <c r="D104" s="418"/>
      <c r="E104" s="418"/>
      <c r="F104" s="418"/>
      <c r="G104" s="418"/>
      <c r="H104" s="418"/>
      <c r="I104" s="418"/>
      <c r="Q104" s="55"/>
    </row>
    <row r="105" spans="1:20" hidden="1">
      <c r="A105" s="117"/>
      <c r="B105" s="107" t="s">
        <v>31</v>
      </c>
      <c r="C105" s="108">
        <v>0</v>
      </c>
      <c r="D105" s="58">
        <v>4726.7</v>
      </c>
      <c r="E105" s="25">
        <f>C105*D105</f>
        <v>0</v>
      </c>
      <c r="G105" s="107" t="s">
        <v>31</v>
      </c>
      <c r="H105" s="89">
        <v>0</v>
      </c>
      <c r="I105" s="58">
        <v>4726.7</v>
      </c>
      <c r="J105" s="35">
        <f>H105*I105</f>
        <v>0</v>
      </c>
      <c r="L105" s="23" t="s">
        <v>31</v>
      </c>
      <c r="M105" s="118">
        <v>0</v>
      </c>
      <c r="N105" s="41">
        <v>4726.7</v>
      </c>
      <c r="O105" s="35">
        <f>M105*N105</f>
        <v>0</v>
      </c>
      <c r="P105" s="49"/>
      <c r="Q105" s="55"/>
    </row>
    <row r="106" spans="1:20">
      <c r="A106" s="46"/>
      <c r="B106" s="46"/>
      <c r="C106" s="47"/>
      <c r="D106" s="48"/>
      <c r="E106" s="49"/>
      <c r="F106" s="14"/>
      <c r="G106" s="46"/>
      <c r="H106" s="50"/>
      <c r="I106" s="48"/>
      <c r="J106" s="49"/>
      <c r="K106" s="14"/>
      <c r="L106" s="45"/>
      <c r="M106" s="50"/>
      <c r="N106" s="51"/>
      <c r="O106" s="49"/>
      <c r="P106" s="49"/>
      <c r="Q106" s="55"/>
    </row>
    <row r="107" spans="1:20" ht="15" customHeight="1">
      <c r="A107" s="416" t="s">
        <v>75</v>
      </c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Q107" s="55"/>
    </row>
    <row r="108" spans="1:20">
      <c r="A108" s="26" t="s">
        <v>39</v>
      </c>
      <c r="B108" s="107" t="s">
        <v>31</v>
      </c>
      <c r="C108" s="108">
        <v>1</v>
      </c>
      <c r="D108" s="41">
        <v>4726.7</v>
      </c>
      <c r="E108" s="25">
        <f>C108*D108</f>
        <v>4726.7</v>
      </c>
      <c r="G108" s="23" t="s">
        <v>31</v>
      </c>
      <c r="H108" s="57">
        <v>1</v>
      </c>
      <c r="I108" s="41">
        <v>4726.7</v>
      </c>
      <c r="J108" s="35">
        <f>H108*I108</f>
        <v>4726.7</v>
      </c>
      <c r="L108" s="107" t="s">
        <v>31</v>
      </c>
      <c r="M108" s="59">
        <v>1</v>
      </c>
      <c r="N108" s="41">
        <v>4726.7</v>
      </c>
      <c r="O108" s="35">
        <f>M108*N108</f>
        <v>4726.7</v>
      </c>
      <c r="P108" s="26" t="s">
        <v>39</v>
      </c>
      <c r="Q108" s="60"/>
      <c r="R108" s="61"/>
      <c r="S108" s="61"/>
      <c r="T108" s="62"/>
    </row>
    <row r="109" spans="1:20">
      <c r="A109" s="4" t="s">
        <v>35</v>
      </c>
      <c r="B109" s="23" t="s">
        <v>34</v>
      </c>
      <c r="C109" s="104">
        <v>2</v>
      </c>
      <c r="D109" s="41">
        <v>3434.43</v>
      </c>
      <c r="E109" s="35">
        <f>C109*D109</f>
        <v>6868.86</v>
      </c>
      <c r="G109" s="23" t="s">
        <v>34</v>
      </c>
      <c r="H109" s="57">
        <v>2</v>
      </c>
      <c r="I109" s="41">
        <v>3434.43</v>
      </c>
      <c r="J109" s="35">
        <f>H109*I109</f>
        <v>6868.86</v>
      </c>
      <c r="L109" s="23" t="s">
        <v>34</v>
      </c>
      <c r="M109" s="59">
        <v>2</v>
      </c>
      <c r="N109" s="41">
        <v>3434.43</v>
      </c>
      <c r="O109" s="35">
        <f>M109*N109</f>
        <v>6868.86</v>
      </c>
      <c r="P109" s="4" t="s">
        <v>35</v>
      </c>
      <c r="Q109" s="66"/>
      <c r="R109" s="67"/>
      <c r="S109" s="67"/>
      <c r="T109" s="68"/>
    </row>
    <row r="110" spans="1:20">
      <c r="A110" s="4" t="s">
        <v>42</v>
      </c>
      <c r="B110" s="23" t="s">
        <v>24</v>
      </c>
      <c r="C110" s="104">
        <v>1</v>
      </c>
      <c r="D110" s="41">
        <v>2121.15</v>
      </c>
      <c r="E110" s="35">
        <f>C110*D110</f>
        <v>2121.15</v>
      </c>
      <c r="G110" s="23" t="s">
        <v>24</v>
      </c>
      <c r="H110" s="57">
        <v>0</v>
      </c>
      <c r="I110" s="41">
        <v>2121.15</v>
      </c>
      <c r="J110" s="35">
        <f>H110*I110</f>
        <v>0</v>
      </c>
      <c r="L110" s="23" t="s">
        <v>24</v>
      </c>
      <c r="M110" s="59">
        <v>1</v>
      </c>
      <c r="N110" s="41">
        <v>2984.45</v>
      </c>
      <c r="O110" s="35">
        <f>M110*N110</f>
        <v>2984.45</v>
      </c>
      <c r="P110" s="4" t="s">
        <v>42</v>
      </c>
      <c r="Q110" s="66"/>
      <c r="R110" s="67"/>
      <c r="S110" s="67"/>
      <c r="T110" s="68"/>
    </row>
    <row r="111" spans="1:20">
      <c r="A111" s="109" t="s">
        <v>44</v>
      </c>
      <c r="B111" s="87" t="s">
        <v>45</v>
      </c>
      <c r="C111" s="110">
        <v>6</v>
      </c>
      <c r="D111" s="75">
        <v>1567.95</v>
      </c>
      <c r="E111" s="35">
        <f>C111*D111</f>
        <v>9407.7000000000007</v>
      </c>
      <c r="G111" s="23" t="s">
        <v>45</v>
      </c>
      <c r="H111" s="57">
        <v>0</v>
      </c>
      <c r="I111" s="41">
        <v>1567.95</v>
      </c>
      <c r="J111" s="35">
        <f>H111*I111</f>
        <v>0</v>
      </c>
      <c r="L111" s="23" t="s">
        <v>45</v>
      </c>
      <c r="M111" s="76">
        <v>3</v>
      </c>
      <c r="N111" s="41">
        <v>1567.95</v>
      </c>
      <c r="O111" s="35">
        <f>M111*N111</f>
        <v>4703.8500000000004</v>
      </c>
      <c r="P111" s="109" t="s">
        <v>46</v>
      </c>
      <c r="Q111" s="43"/>
      <c r="R111" s="71"/>
      <c r="S111" s="71"/>
      <c r="T111" s="72"/>
    </row>
    <row r="112" spans="1:20">
      <c r="A112" s="46"/>
      <c r="B112" s="46"/>
      <c r="C112" s="47"/>
      <c r="D112" s="48"/>
      <c r="E112" s="49"/>
      <c r="F112" s="14"/>
      <c r="G112" s="46"/>
      <c r="H112" s="50"/>
      <c r="I112" s="48"/>
      <c r="J112" s="49"/>
      <c r="K112" s="14"/>
      <c r="L112" s="45"/>
      <c r="M112" s="50"/>
      <c r="N112" s="51"/>
      <c r="O112" s="49"/>
      <c r="P112" s="14"/>
      <c r="Q112" s="67"/>
      <c r="R112" s="67"/>
      <c r="S112" s="67"/>
      <c r="T112" s="67"/>
    </row>
    <row r="113" spans="1:20" ht="15" customHeight="1">
      <c r="A113" s="416" t="s">
        <v>76</v>
      </c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Q113" s="55"/>
    </row>
    <row r="114" spans="1:20">
      <c r="A114" s="26" t="s">
        <v>39</v>
      </c>
      <c r="B114" s="107" t="s">
        <v>31</v>
      </c>
      <c r="C114" s="108">
        <v>1</v>
      </c>
      <c r="D114" s="41">
        <v>4726.7</v>
      </c>
      <c r="E114" s="25">
        <f>C114*D114</f>
        <v>4726.7</v>
      </c>
      <c r="G114" s="23" t="s">
        <v>31</v>
      </c>
      <c r="H114" s="57">
        <v>1</v>
      </c>
      <c r="I114" s="41">
        <v>4726.7</v>
      </c>
      <c r="J114" s="35">
        <f>H114*I114</f>
        <v>4726.7</v>
      </c>
      <c r="L114" s="107" t="s">
        <v>31</v>
      </c>
      <c r="M114" s="59">
        <v>1</v>
      </c>
      <c r="N114" s="41">
        <v>4726.7</v>
      </c>
      <c r="O114" s="35">
        <f>M114*N114</f>
        <v>4726.7</v>
      </c>
      <c r="P114" s="26" t="s">
        <v>39</v>
      </c>
      <c r="Q114" s="60"/>
      <c r="R114" s="61"/>
      <c r="S114" s="61"/>
      <c r="T114" s="62"/>
    </row>
    <row r="115" spans="1:20">
      <c r="A115" s="4" t="s">
        <v>42</v>
      </c>
      <c r="B115" s="23" t="s">
        <v>24</v>
      </c>
      <c r="C115" s="104">
        <v>1</v>
      </c>
      <c r="D115" s="41">
        <v>2121.15</v>
      </c>
      <c r="E115" s="35">
        <f>C115*D115</f>
        <v>2121.15</v>
      </c>
      <c r="G115" s="23" t="s">
        <v>24</v>
      </c>
      <c r="H115" s="57">
        <v>0</v>
      </c>
      <c r="I115" s="41">
        <v>2121.15</v>
      </c>
      <c r="J115" s="35">
        <f>H115*I115</f>
        <v>0</v>
      </c>
      <c r="L115" s="23" t="s">
        <v>24</v>
      </c>
      <c r="M115" s="59">
        <v>1</v>
      </c>
      <c r="N115" s="41">
        <v>2984.45</v>
      </c>
      <c r="O115" s="35">
        <f>M115*N115</f>
        <v>2984.45</v>
      </c>
      <c r="P115" s="4" t="s">
        <v>42</v>
      </c>
      <c r="Q115" s="66"/>
      <c r="R115" s="67"/>
      <c r="S115" s="67"/>
      <c r="T115" s="68"/>
    </row>
    <row r="116" spans="1:20">
      <c r="A116" s="109" t="s">
        <v>44</v>
      </c>
      <c r="B116" s="87" t="s">
        <v>45</v>
      </c>
      <c r="C116" s="110">
        <v>1</v>
      </c>
      <c r="D116" s="75">
        <v>1567.95</v>
      </c>
      <c r="E116" s="35">
        <f>C116*D116</f>
        <v>1567.95</v>
      </c>
      <c r="G116" s="23" t="s">
        <v>45</v>
      </c>
      <c r="H116" s="57">
        <v>0</v>
      </c>
      <c r="I116" s="41">
        <v>1567.95</v>
      </c>
      <c r="J116" s="35">
        <f>H116*I116</f>
        <v>0</v>
      </c>
      <c r="L116" s="23" t="s">
        <v>45</v>
      </c>
      <c r="M116" s="59">
        <v>1</v>
      </c>
      <c r="N116" s="41">
        <v>1567.95</v>
      </c>
      <c r="O116" s="35">
        <f>M116*N116</f>
        <v>1567.95</v>
      </c>
      <c r="P116" s="109" t="s">
        <v>46</v>
      </c>
      <c r="Q116" s="43"/>
      <c r="R116" s="71"/>
      <c r="S116" s="71"/>
      <c r="T116" s="72"/>
    </row>
    <row r="117" spans="1:20">
      <c r="A117" s="46"/>
      <c r="B117" s="46"/>
      <c r="C117" s="47"/>
      <c r="D117" s="48"/>
      <c r="E117" s="49"/>
      <c r="F117" s="14"/>
      <c r="G117" s="46"/>
      <c r="H117" s="50"/>
      <c r="I117" s="48"/>
      <c r="J117" s="49"/>
      <c r="K117" s="14"/>
      <c r="L117" s="45"/>
      <c r="M117" s="50"/>
      <c r="N117" s="51"/>
      <c r="O117" s="49"/>
      <c r="P117" s="14"/>
      <c r="Q117" s="67"/>
      <c r="R117" s="67"/>
      <c r="S117" s="67"/>
      <c r="T117" s="67"/>
    </row>
    <row r="118" spans="1:20" ht="15" customHeight="1">
      <c r="A118" s="420" t="s">
        <v>77</v>
      </c>
      <c r="B118" s="420"/>
      <c r="C118" s="420"/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  <c r="Q118" s="55"/>
    </row>
    <row r="119" spans="1:20" ht="14.85" customHeight="1">
      <c r="A119" s="119" t="s">
        <v>48</v>
      </c>
      <c r="B119" s="107" t="s">
        <v>28</v>
      </c>
      <c r="C119" s="108">
        <v>1</v>
      </c>
      <c r="D119" s="58">
        <v>10352.52</v>
      </c>
      <c r="E119" s="25">
        <f>C119*D119</f>
        <v>10352.52</v>
      </c>
      <c r="G119" s="23" t="s">
        <v>28</v>
      </c>
      <c r="H119" s="57">
        <v>1</v>
      </c>
      <c r="I119" s="41">
        <v>10352.52</v>
      </c>
      <c r="J119" s="35">
        <f>H119*I119</f>
        <v>10352.52</v>
      </c>
      <c r="L119" s="5" t="s">
        <v>28</v>
      </c>
      <c r="M119" s="59">
        <v>1</v>
      </c>
      <c r="N119" s="41">
        <v>10352.52</v>
      </c>
      <c r="O119" s="35">
        <f>M119*N119</f>
        <v>10352.52</v>
      </c>
      <c r="P119" s="119" t="s">
        <v>48</v>
      </c>
      <c r="Q119" s="419" t="s">
        <v>78</v>
      </c>
      <c r="R119" s="419"/>
      <c r="S119" s="419"/>
      <c r="T119" s="419"/>
    </row>
    <row r="120" spans="1:20" ht="15" customHeight="1">
      <c r="A120" s="4" t="s">
        <v>50</v>
      </c>
      <c r="B120" s="23" t="s">
        <v>34</v>
      </c>
      <c r="C120" s="104">
        <v>1</v>
      </c>
      <c r="D120" s="41">
        <v>3434.43</v>
      </c>
      <c r="E120" s="35">
        <f>C120*D120</f>
        <v>3434.43</v>
      </c>
      <c r="G120" s="23" t="s">
        <v>34</v>
      </c>
      <c r="H120" s="57">
        <v>0</v>
      </c>
      <c r="I120" s="41">
        <v>3434.43</v>
      </c>
      <c r="J120" s="35">
        <f>H120*I120</f>
        <v>0</v>
      </c>
      <c r="L120" s="23" t="s">
        <v>34</v>
      </c>
      <c r="M120" s="59">
        <v>1</v>
      </c>
      <c r="N120" s="41">
        <v>3434.43</v>
      </c>
      <c r="O120" s="35">
        <f>M120*N120</f>
        <v>3434.43</v>
      </c>
      <c r="P120" s="4" t="s">
        <v>50</v>
      </c>
      <c r="Q120" s="419"/>
      <c r="R120" s="419"/>
      <c r="S120" s="419"/>
      <c r="T120" s="419"/>
    </row>
    <row r="121" spans="1:20">
      <c r="A121" s="4" t="s">
        <v>65</v>
      </c>
      <c r="B121" s="23" t="s">
        <v>24</v>
      </c>
      <c r="C121" s="104">
        <v>2</v>
      </c>
      <c r="D121" s="41">
        <v>2121.15</v>
      </c>
      <c r="E121" s="35">
        <f>C121*D121</f>
        <v>4242.3</v>
      </c>
      <c r="G121" s="23" t="s">
        <v>24</v>
      </c>
      <c r="H121" s="57">
        <v>0</v>
      </c>
      <c r="I121" s="41">
        <v>2121.15</v>
      </c>
      <c r="J121" s="35">
        <f>H121*I121</f>
        <v>0</v>
      </c>
      <c r="L121" s="23" t="s">
        <v>24</v>
      </c>
      <c r="M121" s="59">
        <v>2</v>
      </c>
      <c r="N121" s="41">
        <v>2984.45</v>
      </c>
      <c r="O121" s="35">
        <f>M121*N121</f>
        <v>5968.9</v>
      </c>
      <c r="P121" s="4" t="s">
        <v>65</v>
      </c>
      <c r="Q121" s="120"/>
      <c r="R121" s="14"/>
      <c r="S121" s="14"/>
      <c r="T121" s="39"/>
    </row>
    <row r="122" spans="1:20">
      <c r="A122" s="109" t="s">
        <v>44</v>
      </c>
      <c r="B122" s="87" t="s">
        <v>45</v>
      </c>
      <c r="C122" s="110">
        <v>1</v>
      </c>
      <c r="D122" s="75">
        <v>1567.95</v>
      </c>
      <c r="E122" s="35">
        <f>C122*D122</f>
        <v>1567.95</v>
      </c>
      <c r="G122" s="23" t="s">
        <v>45</v>
      </c>
      <c r="H122" s="57">
        <v>0</v>
      </c>
      <c r="I122" s="41">
        <v>1567.95</v>
      </c>
      <c r="J122" s="35">
        <f>H122*I122</f>
        <v>0</v>
      </c>
      <c r="L122" s="23" t="s">
        <v>45</v>
      </c>
      <c r="M122" s="76">
        <v>0</v>
      </c>
      <c r="N122" s="41">
        <v>1567.95</v>
      </c>
      <c r="O122" s="35">
        <f>M122*N122</f>
        <v>0</v>
      </c>
      <c r="P122" s="109" t="s">
        <v>46</v>
      </c>
      <c r="Q122" s="111"/>
      <c r="R122" s="16"/>
      <c r="S122" s="16"/>
      <c r="T122" s="44"/>
    </row>
    <row r="123" spans="1:20">
      <c r="A123" s="46"/>
      <c r="B123" s="46"/>
      <c r="C123" s="47"/>
      <c r="D123" s="48"/>
      <c r="E123" s="49"/>
      <c r="F123" s="14"/>
      <c r="G123" s="46"/>
      <c r="H123" s="50"/>
      <c r="I123" s="48"/>
      <c r="J123" s="49"/>
      <c r="K123" s="14"/>
      <c r="L123" s="45"/>
      <c r="M123" s="50"/>
      <c r="N123" s="51"/>
      <c r="O123" s="49"/>
      <c r="P123" s="14"/>
      <c r="Q123" s="53"/>
      <c r="R123" s="14"/>
      <c r="S123" s="14"/>
      <c r="T123" s="14"/>
    </row>
    <row r="124" spans="1:20" ht="15" customHeight="1">
      <c r="A124" s="416" t="s">
        <v>79</v>
      </c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Q124" s="55"/>
    </row>
    <row r="125" spans="1:20" ht="14.85" customHeight="1">
      <c r="A125" s="26" t="s">
        <v>39</v>
      </c>
      <c r="B125" s="107" t="s">
        <v>31</v>
      </c>
      <c r="C125" s="108">
        <v>1</v>
      </c>
      <c r="D125" s="41">
        <v>4726.7</v>
      </c>
      <c r="E125" s="25">
        <f>C125*D125</f>
        <v>4726.7</v>
      </c>
      <c r="G125" s="23" t="s">
        <v>31</v>
      </c>
      <c r="H125" s="57">
        <v>1</v>
      </c>
      <c r="I125" s="41">
        <v>4726.7</v>
      </c>
      <c r="J125" s="35">
        <f>H125*I125</f>
        <v>4726.7</v>
      </c>
      <c r="L125" s="107" t="s">
        <v>31</v>
      </c>
      <c r="M125" s="59">
        <v>1</v>
      </c>
      <c r="N125" s="41">
        <v>4726.7</v>
      </c>
      <c r="O125" s="35">
        <f>M125*N125</f>
        <v>4726.7</v>
      </c>
      <c r="P125" s="26" t="s">
        <v>39</v>
      </c>
      <c r="Q125" s="419" t="s">
        <v>78</v>
      </c>
      <c r="R125" s="419"/>
      <c r="S125" s="419"/>
      <c r="T125" s="419"/>
    </row>
    <row r="126" spans="1:20">
      <c r="A126" s="4" t="s">
        <v>42</v>
      </c>
      <c r="B126" s="23" t="s">
        <v>24</v>
      </c>
      <c r="C126" s="104">
        <v>1</v>
      </c>
      <c r="D126" s="41">
        <v>2121.15</v>
      </c>
      <c r="E126" s="35">
        <f>C126*D126</f>
        <v>2121.15</v>
      </c>
      <c r="G126" s="23" t="s">
        <v>24</v>
      </c>
      <c r="H126" s="36">
        <v>0</v>
      </c>
      <c r="I126" s="41">
        <v>2121.15</v>
      </c>
      <c r="J126" s="35">
        <f>H126*I126</f>
        <v>0</v>
      </c>
      <c r="L126" s="23" t="s">
        <v>24</v>
      </c>
      <c r="M126" s="59">
        <v>1</v>
      </c>
      <c r="N126" s="41">
        <v>2121.15</v>
      </c>
      <c r="O126" s="35">
        <f>M126*N126</f>
        <v>2121.15</v>
      </c>
      <c r="P126" s="4" t="s">
        <v>42</v>
      </c>
      <c r="Q126" s="419"/>
      <c r="R126" s="419"/>
      <c r="S126" s="419"/>
      <c r="T126" s="419"/>
    </row>
    <row r="127" spans="1:20">
      <c r="A127" s="109" t="s">
        <v>44</v>
      </c>
      <c r="B127" s="87" t="s">
        <v>45</v>
      </c>
      <c r="C127" s="110">
        <v>1</v>
      </c>
      <c r="D127" s="75">
        <v>1567.95</v>
      </c>
      <c r="E127" s="35">
        <f>C127*D127</f>
        <v>1567.95</v>
      </c>
      <c r="G127" s="23" t="s">
        <v>45</v>
      </c>
      <c r="H127" s="57">
        <v>0</v>
      </c>
      <c r="I127" s="41">
        <v>1567.95</v>
      </c>
      <c r="J127" s="35">
        <f>H127*I127</f>
        <v>0</v>
      </c>
      <c r="L127" s="23" t="s">
        <v>45</v>
      </c>
      <c r="M127" s="59">
        <v>1</v>
      </c>
      <c r="N127" s="41">
        <v>1567.95</v>
      </c>
      <c r="O127" s="35">
        <f>M127*N127</f>
        <v>1567.95</v>
      </c>
      <c r="P127" s="109" t="s">
        <v>46</v>
      </c>
      <c r="Q127" s="111" t="s">
        <v>80</v>
      </c>
      <c r="R127" s="16"/>
      <c r="S127" s="16"/>
      <c r="T127" s="44"/>
    </row>
    <row r="128" spans="1:20">
      <c r="A128" s="46"/>
      <c r="B128" s="46"/>
      <c r="C128" s="47"/>
      <c r="D128" s="48"/>
      <c r="E128" s="49"/>
      <c r="F128" s="14"/>
      <c r="G128" s="46"/>
      <c r="H128" s="50"/>
      <c r="I128" s="48"/>
      <c r="J128" s="49"/>
      <c r="K128" s="14"/>
      <c r="L128" s="45"/>
      <c r="M128" s="50"/>
      <c r="N128" s="51"/>
      <c r="O128" s="49"/>
      <c r="P128" s="14"/>
      <c r="Q128" s="55"/>
    </row>
    <row r="129" spans="1:20" ht="15" customHeight="1">
      <c r="A129" s="416" t="s">
        <v>81</v>
      </c>
      <c r="B129" s="416"/>
      <c r="C129" s="416"/>
      <c r="D129" s="416"/>
      <c r="E129" s="416"/>
      <c r="F129" s="416"/>
      <c r="G129" s="416"/>
      <c r="H129" s="416"/>
      <c r="I129" s="416"/>
      <c r="J129" s="416"/>
      <c r="K129" s="416"/>
      <c r="L129" s="416"/>
      <c r="M129" s="416"/>
      <c r="Q129" s="55"/>
    </row>
    <row r="130" spans="1:20" ht="14.85" customHeight="1">
      <c r="A130" s="26" t="s">
        <v>39</v>
      </c>
      <c r="B130" s="107" t="s">
        <v>31</v>
      </c>
      <c r="C130" s="108">
        <v>1</v>
      </c>
      <c r="D130" s="41">
        <v>4726.7</v>
      </c>
      <c r="E130" s="25">
        <f>C130*D130</f>
        <v>4726.7</v>
      </c>
      <c r="G130" s="23" t="s">
        <v>31</v>
      </c>
      <c r="H130" s="57">
        <v>1</v>
      </c>
      <c r="I130" s="41">
        <v>4726.7</v>
      </c>
      <c r="J130" s="35">
        <f>H130*I130</f>
        <v>4726.7</v>
      </c>
      <c r="L130" s="107" t="s">
        <v>31</v>
      </c>
      <c r="M130" s="59">
        <v>1</v>
      </c>
      <c r="N130" s="41">
        <v>4726.7</v>
      </c>
      <c r="O130" s="35">
        <f>M130*N130</f>
        <v>4726.7</v>
      </c>
      <c r="P130" s="26" t="s">
        <v>39</v>
      </c>
      <c r="Q130" s="419" t="s">
        <v>78</v>
      </c>
      <c r="R130" s="419"/>
      <c r="S130" s="419"/>
      <c r="T130" s="419"/>
    </row>
    <row r="131" spans="1:20">
      <c r="A131" s="4" t="s">
        <v>42</v>
      </c>
      <c r="B131" s="23" t="s">
        <v>24</v>
      </c>
      <c r="C131" s="104">
        <v>1</v>
      </c>
      <c r="D131" s="41">
        <v>2121.15</v>
      </c>
      <c r="E131" s="35">
        <f>C131*D131</f>
        <v>2121.15</v>
      </c>
      <c r="G131" s="23" t="s">
        <v>24</v>
      </c>
      <c r="H131" s="36">
        <v>0</v>
      </c>
      <c r="I131" s="41">
        <v>2121.15</v>
      </c>
      <c r="J131" s="35">
        <f>H131*I131</f>
        <v>0</v>
      </c>
      <c r="L131" s="23" t="s">
        <v>24</v>
      </c>
      <c r="M131" s="59">
        <v>1</v>
      </c>
      <c r="N131" s="41">
        <v>2121.15</v>
      </c>
      <c r="O131" s="35">
        <f>M131*N131</f>
        <v>2121.15</v>
      </c>
      <c r="P131" s="4" t="s">
        <v>42</v>
      </c>
      <c r="Q131" s="419"/>
      <c r="R131" s="419"/>
      <c r="S131" s="419"/>
      <c r="T131" s="419"/>
    </row>
    <row r="132" spans="1:20">
      <c r="A132" s="109" t="s">
        <v>44</v>
      </c>
      <c r="B132" s="87" t="s">
        <v>45</v>
      </c>
      <c r="C132" s="110">
        <v>1</v>
      </c>
      <c r="D132" s="75">
        <v>1567.95</v>
      </c>
      <c r="E132" s="35">
        <f>C132*D132</f>
        <v>1567.95</v>
      </c>
      <c r="G132" s="23" t="s">
        <v>45</v>
      </c>
      <c r="H132" s="57">
        <v>0</v>
      </c>
      <c r="I132" s="41">
        <v>1567.95</v>
      </c>
      <c r="J132" s="35">
        <f>H132*I132</f>
        <v>0</v>
      </c>
      <c r="L132" s="23" t="s">
        <v>45</v>
      </c>
      <c r="M132" s="59">
        <v>1</v>
      </c>
      <c r="N132" s="41">
        <v>1567.95</v>
      </c>
      <c r="O132" s="35">
        <f>M132*N132</f>
        <v>1567.95</v>
      </c>
      <c r="P132" s="109" t="s">
        <v>46</v>
      </c>
      <c r="Q132" s="111" t="s">
        <v>82</v>
      </c>
      <c r="R132" s="16"/>
      <c r="S132" s="16"/>
      <c r="T132" s="44"/>
    </row>
    <row r="133" spans="1:20">
      <c r="A133" s="46"/>
      <c r="B133" s="46"/>
      <c r="C133" s="47"/>
      <c r="D133" s="48"/>
      <c r="E133" s="49"/>
      <c r="F133" s="14"/>
      <c r="G133" s="46"/>
      <c r="H133" s="50"/>
      <c r="I133" s="48"/>
      <c r="J133" s="49"/>
      <c r="K133" s="14"/>
      <c r="L133" s="45"/>
      <c r="M133" s="50"/>
      <c r="N133" s="51"/>
      <c r="O133" s="49"/>
      <c r="P133" s="14"/>
      <c r="Q133" s="53"/>
      <c r="R133" s="14"/>
      <c r="S133" s="14"/>
      <c r="T133" s="14"/>
    </row>
    <row r="134" spans="1:20" ht="15" customHeight="1">
      <c r="A134" s="416" t="s">
        <v>83</v>
      </c>
      <c r="B134" s="416"/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Q134" s="55"/>
    </row>
    <row r="135" spans="1:20" ht="14.85" customHeight="1">
      <c r="A135" s="26" t="s">
        <v>39</v>
      </c>
      <c r="B135" s="23" t="s">
        <v>31</v>
      </c>
      <c r="C135" s="104">
        <v>1</v>
      </c>
      <c r="D135" s="41">
        <v>4726.7</v>
      </c>
      <c r="E135" s="25">
        <f>C135*D135</f>
        <v>4726.7</v>
      </c>
      <c r="G135" s="23" t="s">
        <v>31</v>
      </c>
      <c r="H135" s="57">
        <v>1</v>
      </c>
      <c r="I135" s="41">
        <v>4726.7</v>
      </c>
      <c r="J135" s="35">
        <f>H135*I135</f>
        <v>4726.7</v>
      </c>
      <c r="L135" s="23" t="s">
        <v>31</v>
      </c>
      <c r="M135" s="59">
        <v>1</v>
      </c>
      <c r="N135" s="41">
        <v>4726.7</v>
      </c>
      <c r="O135" s="35">
        <f>M135*N135</f>
        <v>4726.7</v>
      </c>
      <c r="P135" s="26" t="s">
        <v>39</v>
      </c>
      <c r="Q135" s="419" t="s">
        <v>78</v>
      </c>
      <c r="R135" s="419"/>
      <c r="S135" s="419"/>
      <c r="T135" s="419"/>
    </row>
    <row r="136" spans="1:20">
      <c r="A136" s="4" t="s">
        <v>42</v>
      </c>
      <c r="B136" s="23" t="s">
        <v>24</v>
      </c>
      <c r="C136" s="104">
        <v>1</v>
      </c>
      <c r="D136" s="41">
        <v>2121.15</v>
      </c>
      <c r="E136" s="35">
        <f>C136*D136</f>
        <v>2121.15</v>
      </c>
      <c r="G136" s="23" t="s">
        <v>24</v>
      </c>
      <c r="H136" s="36">
        <v>0</v>
      </c>
      <c r="I136" s="41">
        <v>2121.15</v>
      </c>
      <c r="J136" s="35">
        <f>H136*I136</f>
        <v>0</v>
      </c>
      <c r="L136" s="23" t="s">
        <v>24</v>
      </c>
      <c r="M136" s="59">
        <v>1</v>
      </c>
      <c r="N136" s="41">
        <v>2121.15</v>
      </c>
      <c r="O136" s="35">
        <f>M136*N136</f>
        <v>2121.15</v>
      </c>
      <c r="P136" s="4" t="s">
        <v>42</v>
      </c>
      <c r="Q136" s="419"/>
      <c r="R136" s="419"/>
      <c r="S136" s="419"/>
      <c r="T136" s="419"/>
    </row>
    <row r="137" spans="1:20">
      <c r="A137" s="109" t="s">
        <v>44</v>
      </c>
      <c r="B137" s="23" t="s">
        <v>45</v>
      </c>
      <c r="C137" s="104">
        <v>1</v>
      </c>
      <c r="D137" s="75">
        <v>1567.95</v>
      </c>
      <c r="E137" s="35">
        <f>C137*D137</f>
        <v>1567.95</v>
      </c>
      <c r="G137" s="23" t="s">
        <v>45</v>
      </c>
      <c r="H137" s="57">
        <v>0</v>
      </c>
      <c r="I137" s="41">
        <v>1567.95</v>
      </c>
      <c r="J137" s="35">
        <f>H137*I137</f>
        <v>0</v>
      </c>
      <c r="L137" s="23" t="s">
        <v>45</v>
      </c>
      <c r="M137" s="59">
        <v>1</v>
      </c>
      <c r="N137" s="41">
        <v>1567.95</v>
      </c>
      <c r="O137" s="35">
        <f>M137*N137</f>
        <v>1567.95</v>
      </c>
      <c r="P137" s="109" t="s">
        <v>46</v>
      </c>
      <c r="Q137" s="111" t="s">
        <v>84</v>
      </c>
      <c r="R137" s="16"/>
      <c r="S137" s="16"/>
      <c r="T137" s="44"/>
    </row>
    <row r="138" spans="1:20">
      <c r="A138" s="46"/>
      <c r="B138" s="46"/>
      <c r="C138" s="47"/>
      <c r="D138" s="48"/>
      <c r="E138" s="49"/>
      <c r="F138" s="14"/>
      <c r="G138" s="46"/>
      <c r="H138" s="50"/>
      <c r="I138" s="48"/>
      <c r="J138" s="49"/>
      <c r="K138" s="14"/>
      <c r="L138" s="45"/>
      <c r="M138" s="50"/>
      <c r="N138" s="51"/>
      <c r="O138" s="49"/>
      <c r="P138" s="14"/>
      <c r="Q138" s="53"/>
      <c r="R138" s="14"/>
      <c r="S138" s="14"/>
      <c r="T138" s="14"/>
    </row>
    <row r="139" spans="1:20" ht="15" customHeight="1">
      <c r="A139" s="420" t="s">
        <v>85</v>
      </c>
      <c r="B139" s="420"/>
      <c r="C139" s="420"/>
      <c r="D139" s="420"/>
      <c r="E139" s="420"/>
      <c r="F139" s="420"/>
      <c r="G139" s="420"/>
      <c r="H139" s="420"/>
      <c r="I139" s="420"/>
      <c r="J139" s="420"/>
      <c r="K139" s="420"/>
      <c r="L139" s="420"/>
      <c r="M139" s="420"/>
      <c r="Q139" s="55"/>
    </row>
    <row r="140" spans="1:20">
      <c r="A140" s="119" t="s">
        <v>48</v>
      </c>
      <c r="B140" s="107" t="s">
        <v>28</v>
      </c>
      <c r="C140" s="108">
        <v>1</v>
      </c>
      <c r="D140" s="58">
        <v>10352.52</v>
      </c>
      <c r="E140" s="25">
        <f>C140*D140</f>
        <v>10352.52</v>
      </c>
      <c r="G140" s="23" t="s">
        <v>28</v>
      </c>
      <c r="H140" s="57">
        <v>1</v>
      </c>
      <c r="I140" s="41">
        <v>10352.52</v>
      </c>
      <c r="J140" s="35">
        <f>H140*I140</f>
        <v>10352.52</v>
      </c>
      <c r="L140" s="5" t="s">
        <v>28</v>
      </c>
      <c r="M140" s="59">
        <v>1</v>
      </c>
      <c r="N140" s="41">
        <v>10352.52</v>
      </c>
      <c r="O140" s="35">
        <f>M140*N140</f>
        <v>10352.52</v>
      </c>
      <c r="P140" s="119" t="s">
        <v>48</v>
      </c>
      <c r="Q140" s="60"/>
      <c r="R140" s="61"/>
      <c r="S140" s="61"/>
      <c r="T140" s="62"/>
    </row>
    <row r="141" spans="1:20">
      <c r="A141" s="121" t="s">
        <v>50</v>
      </c>
      <c r="B141" s="23" t="s">
        <v>34</v>
      </c>
      <c r="C141" s="104">
        <v>1</v>
      </c>
      <c r="D141" s="41">
        <v>3434.43</v>
      </c>
      <c r="E141" s="35">
        <f>C141*D141</f>
        <v>3434.43</v>
      </c>
      <c r="G141" s="23" t="s">
        <v>34</v>
      </c>
      <c r="H141" s="57">
        <v>0</v>
      </c>
      <c r="I141" s="41">
        <v>3434.43</v>
      </c>
      <c r="J141" s="35">
        <f>H141*I141</f>
        <v>0</v>
      </c>
      <c r="L141" s="23" t="s">
        <v>34</v>
      </c>
      <c r="M141" s="59">
        <v>1</v>
      </c>
      <c r="N141" s="41">
        <v>3434.43</v>
      </c>
      <c r="O141" s="35">
        <f>M141*N141</f>
        <v>3434.43</v>
      </c>
      <c r="P141" s="121" t="s">
        <v>50</v>
      </c>
      <c r="Q141" s="66"/>
      <c r="R141" s="67"/>
      <c r="S141" s="67"/>
      <c r="T141" s="68"/>
    </row>
    <row r="142" spans="1:20">
      <c r="A142" s="4" t="s">
        <v>65</v>
      </c>
      <c r="B142" s="23" t="s">
        <v>24</v>
      </c>
      <c r="C142" s="104">
        <v>2</v>
      </c>
      <c r="D142" s="41">
        <v>2121.15</v>
      </c>
      <c r="E142" s="35">
        <f>C142*D142</f>
        <v>4242.3</v>
      </c>
      <c r="G142" s="23" t="s">
        <v>24</v>
      </c>
      <c r="H142" s="57">
        <v>0</v>
      </c>
      <c r="I142" s="41">
        <v>2121.15</v>
      </c>
      <c r="J142" s="35">
        <f>H142*I142</f>
        <v>0</v>
      </c>
      <c r="L142" s="23" t="s">
        <v>24</v>
      </c>
      <c r="M142" s="59">
        <v>2</v>
      </c>
      <c r="N142" s="41">
        <v>2984.45</v>
      </c>
      <c r="O142" s="25">
        <f>M142*N142</f>
        <v>5968.9</v>
      </c>
      <c r="P142" s="4" t="s">
        <v>65</v>
      </c>
      <c r="Q142" s="66"/>
      <c r="R142" s="67"/>
      <c r="S142" s="67"/>
      <c r="T142" s="68"/>
    </row>
    <row r="143" spans="1:20">
      <c r="A143" s="109" t="s">
        <v>44</v>
      </c>
      <c r="B143" s="87" t="s">
        <v>45</v>
      </c>
      <c r="C143" s="110">
        <v>1</v>
      </c>
      <c r="D143" s="75">
        <v>1567.95</v>
      </c>
      <c r="E143" s="35">
        <f>C143*D143</f>
        <v>1567.95</v>
      </c>
      <c r="G143" s="23" t="s">
        <v>45</v>
      </c>
      <c r="H143" s="57">
        <v>0</v>
      </c>
      <c r="I143" s="41">
        <v>1567.95</v>
      </c>
      <c r="J143" s="35">
        <f>H143*I143</f>
        <v>0</v>
      </c>
      <c r="L143" s="23" t="s">
        <v>45</v>
      </c>
      <c r="M143" s="76">
        <v>0</v>
      </c>
      <c r="N143" s="41">
        <v>1567.95</v>
      </c>
      <c r="O143" s="35">
        <f>M143*N143</f>
        <v>0</v>
      </c>
      <c r="P143" s="109" t="s">
        <v>46</v>
      </c>
      <c r="Q143" s="43"/>
      <c r="R143" s="71"/>
      <c r="S143" s="71"/>
      <c r="T143" s="72"/>
    </row>
    <row r="144" spans="1:20">
      <c r="A144" s="46"/>
      <c r="B144" s="46"/>
      <c r="C144" s="47"/>
      <c r="D144" s="48"/>
      <c r="E144" s="49"/>
      <c r="F144" s="14"/>
      <c r="G144" s="46"/>
      <c r="H144" s="50"/>
      <c r="I144" s="48"/>
      <c r="J144" s="49"/>
      <c r="K144" s="14"/>
      <c r="L144" s="45"/>
      <c r="M144" s="50"/>
      <c r="N144" s="51"/>
      <c r="O144" s="49"/>
      <c r="P144" s="14"/>
      <c r="Q144" s="67"/>
      <c r="R144" s="67"/>
      <c r="S144" s="67"/>
      <c r="T144" s="67"/>
    </row>
    <row r="145" spans="1:20" ht="15" customHeight="1">
      <c r="A145" s="416" t="s">
        <v>86</v>
      </c>
      <c r="B145" s="416"/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Q145" s="55"/>
    </row>
    <row r="146" spans="1:20">
      <c r="A146" s="26" t="s">
        <v>39</v>
      </c>
      <c r="B146" s="107" t="s">
        <v>31</v>
      </c>
      <c r="C146" s="108">
        <v>1</v>
      </c>
      <c r="D146" s="58">
        <v>4726.7</v>
      </c>
      <c r="E146" s="25">
        <f>C146*D146</f>
        <v>4726.7</v>
      </c>
      <c r="G146" s="107" t="s">
        <v>31</v>
      </c>
      <c r="H146" s="57">
        <v>1</v>
      </c>
      <c r="I146" s="58">
        <v>4726.7</v>
      </c>
      <c r="J146" s="35">
        <f>H146*I146</f>
        <v>4726.7</v>
      </c>
      <c r="L146" s="23" t="s">
        <v>31</v>
      </c>
      <c r="M146" s="59">
        <v>1</v>
      </c>
      <c r="N146" s="41">
        <v>4726.7</v>
      </c>
      <c r="O146" s="35">
        <f>M146*N146</f>
        <v>4726.7</v>
      </c>
      <c r="P146" s="26" t="s">
        <v>39</v>
      </c>
      <c r="Q146" s="60"/>
      <c r="R146" s="61"/>
      <c r="S146" s="61"/>
      <c r="T146" s="62"/>
    </row>
    <row r="147" spans="1:20">
      <c r="A147" s="4" t="s">
        <v>65</v>
      </c>
      <c r="B147" s="23" t="s">
        <v>24</v>
      </c>
      <c r="C147" s="104">
        <v>6</v>
      </c>
      <c r="D147" s="41">
        <v>2121.15</v>
      </c>
      <c r="E147" s="35">
        <f>C147*D147</f>
        <v>12726.900000000001</v>
      </c>
      <c r="G147" s="23" t="s">
        <v>24</v>
      </c>
      <c r="H147" s="57">
        <v>0</v>
      </c>
      <c r="I147" s="41">
        <v>2121.15</v>
      </c>
      <c r="J147" s="35">
        <f>H147*I147</f>
        <v>0</v>
      </c>
      <c r="L147" s="23" t="s">
        <v>24</v>
      </c>
      <c r="M147" s="59">
        <v>4</v>
      </c>
      <c r="N147" s="41">
        <v>2121.15</v>
      </c>
      <c r="O147" s="35">
        <f>M147*N147</f>
        <v>8484.6</v>
      </c>
      <c r="P147" s="4" t="s">
        <v>65</v>
      </c>
      <c r="Q147" s="66"/>
      <c r="R147" s="67"/>
      <c r="S147" s="67"/>
      <c r="T147" s="68"/>
    </row>
    <row r="148" spans="1:20">
      <c r="A148" s="109" t="s">
        <v>44</v>
      </c>
      <c r="B148" s="23" t="s">
        <v>45</v>
      </c>
      <c r="C148" s="104">
        <v>2</v>
      </c>
      <c r="D148" s="41">
        <v>1567.95</v>
      </c>
      <c r="E148" s="35">
        <f>C148*D148</f>
        <v>3135.9</v>
      </c>
      <c r="G148" s="23" t="s">
        <v>45</v>
      </c>
      <c r="H148" s="57">
        <v>0</v>
      </c>
      <c r="I148" s="41">
        <v>1567.95</v>
      </c>
      <c r="J148" s="35">
        <f>H148*I148</f>
        <v>0</v>
      </c>
      <c r="L148" s="23" t="s">
        <v>45</v>
      </c>
      <c r="M148" s="76">
        <v>1</v>
      </c>
      <c r="N148" s="41">
        <v>1567.95</v>
      </c>
      <c r="O148" s="35">
        <f>M148*N148</f>
        <v>1567.95</v>
      </c>
      <c r="P148" s="109" t="s">
        <v>44</v>
      </c>
      <c r="Q148" s="43"/>
      <c r="R148" s="71"/>
      <c r="S148" s="71"/>
      <c r="T148" s="72"/>
    </row>
    <row r="149" spans="1:20">
      <c r="A149" s="46"/>
      <c r="B149" s="46"/>
      <c r="C149" s="47"/>
      <c r="D149" s="48"/>
      <c r="E149" s="49"/>
      <c r="F149" s="14"/>
      <c r="G149" s="46"/>
      <c r="H149" s="50"/>
      <c r="I149" s="48"/>
      <c r="J149" s="49"/>
      <c r="K149" s="14"/>
      <c r="L149" s="45"/>
      <c r="M149" s="50"/>
      <c r="N149" s="51"/>
      <c r="O149" s="49"/>
      <c r="P149" s="14"/>
      <c r="Q149" s="122"/>
      <c r="R149" s="67"/>
      <c r="S149" s="67"/>
      <c r="T149" s="67"/>
    </row>
    <row r="150" spans="1:20" ht="15" customHeight="1">
      <c r="A150" s="416" t="s">
        <v>87</v>
      </c>
      <c r="B150" s="416"/>
      <c r="C150" s="416"/>
      <c r="D150" s="416"/>
      <c r="E150" s="416"/>
      <c r="F150" s="416"/>
      <c r="G150" s="416"/>
      <c r="H150" s="416"/>
      <c r="I150" s="416"/>
      <c r="J150" s="416"/>
      <c r="K150" s="416"/>
      <c r="L150" s="416"/>
      <c r="M150" s="416"/>
      <c r="N150" s="51"/>
      <c r="O150" s="49"/>
      <c r="P150" s="49"/>
      <c r="Q150" s="55"/>
    </row>
    <row r="151" spans="1:20">
      <c r="A151" s="26"/>
      <c r="B151" s="107" t="s">
        <v>34</v>
      </c>
      <c r="C151" s="108">
        <v>0</v>
      </c>
      <c r="D151" s="58">
        <v>4726.7</v>
      </c>
      <c r="E151" s="25">
        <f>C151*D151</f>
        <v>0</v>
      </c>
      <c r="G151" s="107" t="s">
        <v>31</v>
      </c>
      <c r="H151" s="113">
        <v>0</v>
      </c>
      <c r="I151" s="58">
        <v>4726.7</v>
      </c>
      <c r="J151" s="35">
        <f>H151*I151</f>
        <v>0</v>
      </c>
      <c r="L151" s="23" t="s">
        <v>34</v>
      </c>
      <c r="M151" s="123">
        <v>1</v>
      </c>
      <c r="N151" s="41">
        <v>4726.7</v>
      </c>
      <c r="O151" s="35">
        <f>M151*N151</f>
        <v>4726.7</v>
      </c>
      <c r="P151" s="124" t="s">
        <v>35</v>
      </c>
      <c r="Q151" s="125" t="s">
        <v>88</v>
      </c>
      <c r="R151" s="126"/>
      <c r="S151" s="126"/>
      <c r="T151" s="127"/>
    </row>
    <row r="152" spans="1:20" hidden="1">
      <c r="A152" s="39"/>
      <c r="B152" s="23" t="s">
        <v>24</v>
      </c>
      <c r="C152" s="104">
        <v>0</v>
      </c>
      <c r="D152" s="41">
        <v>2121.15</v>
      </c>
      <c r="E152" s="35">
        <f>C152*D152</f>
        <v>0</v>
      </c>
      <c r="G152" s="23" t="s">
        <v>24</v>
      </c>
      <c r="H152" s="113">
        <v>0</v>
      </c>
      <c r="I152" s="41">
        <v>2121.15</v>
      </c>
      <c r="J152" s="35">
        <f>H152*I152</f>
        <v>0</v>
      </c>
      <c r="L152" s="23" t="s">
        <v>24</v>
      </c>
      <c r="M152" s="118">
        <v>0</v>
      </c>
      <c r="N152" s="41">
        <v>2121.15</v>
      </c>
      <c r="O152" s="35">
        <f>M152*N152</f>
        <v>0</v>
      </c>
      <c r="P152" s="65"/>
      <c r="Q152" s="38"/>
      <c r="R152" s="14"/>
      <c r="S152" s="14"/>
      <c r="T152" s="39"/>
    </row>
    <row r="153" spans="1:20">
      <c r="A153" s="46"/>
      <c r="B153" s="46"/>
      <c r="C153" s="47"/>
      <c r="D153" s="48"/>
      <c r="E153" s="49"/>
      <c r="F153" s="14"/>
      <c r="G153" s="46"/>
      <c r="H153" s="50"/>
      <c r="I153" s="48"/>
      <c r="J153" s="49"/>
      <c r="K153" s="14"/>
      <c r="L153" s="45"/>
      <c r="M153" s="50"/>
      <c r="N153" s="51"/>
      <c r="O153" s="49"/>
      <c r="P153" s="49"/>
      <c r="Q153" s="55"/>
    </row>
    <row r="154" spans="1:20" ht="15" customHeight="1">
      <c r="A154" s="416" t="s">
        <v>89</v>
      </c>
      <c r="B154" s="416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51"/>
      <c r="O154" s="49"/>
      <c r="P154" s="49"/>
      <c r="Q154" s="55"/>
    </row>
    <row r="155" spans="1:20">
      <c r="A155" s="26"/>
      <c r="B155" s="107" t="s">
        <v>34</v>
      </c>
      <c r="C155" s="108">
        <v>0</v>
      </c>
      <c r="D155" s="58">
        <v>4726.7</v>
      </c>
      <c r="E155" s="25">
        <f>C155*D155</f>
        <v>0</v>
      </c>
      <c r="G155" s="107" t="s">
        <v>31</v>
      </c>
      <c r="H155" s="113">
        <v>0</v>
      </c>
      <c r="I155" s="58">
        <v>4726.7</v>
      </c>
      <c r="J155" s="35">
        <f>H155*I155</f>
        <v>0</v>
      </c>
      <c r="L155" s="23" t="s">
        <v>34</v>
      </c>
      <c r="M155" s="123">
        <v>1</v>
      </c>
      <c r="N155" s="41">
        <v>4726.7</v>
      </c>
      <c r="O155" s="35">
        <f>M155*N155</f>
        <v>4726.7</v>
      </c>
      <c r="P155" s="124" t="s">
        <v>35</v>
      </c>
      <c r="Q155" s="125" t="s">
        <v>90</v>
      </c>
      <c r="R155" s="126"/>
      <c r="S155" s="126"/>
      <c r="T155" s="127"/>
    </row>
    <row r="156" spans="1:20" hidden="1">
      <c r="A156" s="39"/>
      <c r="B156" s="23" t="s">
        <v>24</v>
      </c>
      <c r="C156" s="104">
        <v>0</v>
      </c>
      <c r="D156" s="41">
        <v>2121.15</v>
      </c>
      <c r="E156" s="35">
        <f>C156*D156</f>
        <v>0</v>
      </c>
      <c r="G156" s="23" t="s">
        <v>24</v>
      </c>
      <c r="H156" s="113">
        <v>0</v>
      </c>
      <c r="I156" s="41">
        <v>2121.15</v>
      </c>
      <c r="J156" s="35">
        <f>H156*I156</f>
        <v>0</v>
      </c>
      <c r="L156" s="23" t="s">
        <v>24</v>
      </c>
      <c r="M156" s="118">
        <v>0</v>
      </c>
      <c r="N156" s="41">
        <v>2121.15</v>
      </c>
      <c r="O156" s="35">
        <f>M156*N156</f>
        <v>0</v>
      </c>
      <c r="P156" s="65"/>
      <c r="Q156" s="38"/>
      <c r="R156" s="14"/>
      <c r="S156" s="14"/>
      <c r="T156" s="39"/>
    </row>
    <row r="157" spans="1:20">
      <c r="A157" s="46"/>
      <c r="B157" s="46"/>
      <c r="C157" s="47"/>
      <c r="D157" s="48"/>
      <c r="E157" s="49"/>
      <c r="F157" s="14"/>
      <c r="G157" s="46"/>
      <c r="H157" s="50"/>
      <c r="I157" s="48"/>
      <c r="J157" s="49"/>
      <c r="K157" s="14"/>
      <c r="L157" s="45"/>
      <c r="M157" s="50"/>
      <c r="N157" s="51"/>
      <c r="O157" s="49"/>
      <c r="P157" s="49"/>
      <c r="Q157" s="55"/>
    </row>
    <row r="158" spans="1:20" ht="15" customHeight="1">
      <c r="A158" s="416" t="s">
        <v>91</v>
      </c>
      <c r="B158" s="416"/>
      <c r="C158" s="416"/>
      <c r="D158" s="416"/>
      <c r="E158" s="416"/>
      <c r="F158" s="416"/>
      <c r="G158" s="416"/>
      <c r="H158" s="416"/>
      <c r="I158" s="416"/>
      <c r="J158" s="416"/>
      <c r="K158" s="416"/>
      <c r="L158" s="416"/>
      <c r="M158" s="416"/>
      <c r="Q158" s="55"/>
    </row>
    <row r="159" spans="1:20">
      <c r="A159" s="26" t="s">
        <v>39</v>
      </c>
      <c r="B159" s="107" t="s">
        <v>31</v>
      </c>
      <c r="C159" s="108">
        <v>1</v>
      </c>
      <c r="D159" s="41">
        <v>4726.7</v>
      </c>
      <c r="E159" s="25">
        <f>C159*D159</f>
        <v>4726.7</v>
      </c>
      <c r="G159" s="23" t="s">
        <v>31</v>
      </c>
      <c r="H159" s="57">
        <v>1</v>
      </c>
      <c r="I159" s="41">
        <v>4726.7</v>
      </c>
      <c r="J159" s="35">
        <f>H159*I159</f>
        <v>4726.7</v>
      </c>
      <c r="L159" s="107" t="s">
        <v>31</v>
      </c>
      <c r="M159" s="59">
        <v>1</v>
      </c>
      <c r="N159" s="41">
        <v>4726.7</v>
      </c>
      <c r="O159" s="35">
        <f>M159*N159</f>
        <v>4726.7</v>
      </c>
      <c r="P159" s="26" t="s">
        <v>39</v>
      </c>
      <c r="Q159" s="60"/>
      <c r="R159" s="61"/>
      <c r="S159" s="61"/>
      <c r="T159" s="62"/>
    </row>
    <row r="160" spans="1:20">
      <c r="A160" s="4" t="s">
        <v>65</v>
      </c>
      <c r="B160" s="23" t="s">
        <v>24</v>
      </c>
      <c r="C160" s="104">
        <v>3</v>
      </c>
      <c r="D160" s="41">
        <v>2121.15</v>
      </c>
      <c r="E160" s="35">
        <f>C160*D160</f>
        <v>6363.4500000000007</v>
      </c>
      <c r="G160" s="23" t="s">
        <v>24</v>
      </c>
      <c r="H160" s="57">
        <v>0</v>
      </c>
      <c r="I160" s="41">
        <v>2121.15</v>
      </c>
      <c r="J160" s="35">
        <f>H160*I160</f>
        <v>0</v>
      </c>
      <c r="L160" s="23" t="s">
        <v>24</v>
      </c>
      <c r="M160" s="59">
        <v>3</v>
      </c>
      <c r="N160" s="41">
        <v>2121.15</v>
      </c>
      <c r="O160" s="35">
        <f>M160*N160</f>
        <v>6363.4500000000007</v>
      </c>
      <c r="P160" s="4" t="s">
        <v>65</v>
      </c>
      <c r="Q160" s="128"/>
      <c r="R160" s="67"/>
      <c r="S160" s="67"/>
      <c r="T160" s="68"/>
    </row>
    <row r="161" spans="1:20">
      <c r="A161" s="109" t="s">
        <v>44</v>
      </c>
      <c r="B161" s="87" t="s">
        <v>45</v>
      </c>
      <c r="C161" s="110">
        <v>5</v>
      </c>
      <c r="D161" s="75">
        <v>1567.95</v>
      </c>
      <c r="E161" s="35">
        <f>C161*D161</f>
        <v>7839.75</v>
      </c>
      <c r="G161" s="23" t="s">
        <v>45</v>
      </c>
      <c r="H161" s="57">
        <v>0</v>
      </c>
      <c r="I161" s="41">
        <v>1567.95</v>
      </c>
      <c r="J161" s="35">
        <f>H161*I161</f>
        <v>0</v>
      </c>
      <c r="L161" s="23" t="s">
        <v>45</v>
      </c>
      <c r="M161" s="76">
        <v>2</v>
      </c>
      <c r="N161" s="41">
        <v>1567.95</v>
      </c>
      <c r="O161" s="35">
        <f>M161*N161</f>
        <v>3135.9</v>
      </c>
      <c r="P161" s="109" t="s">
        <v>46</v>
      </c>
      <c r="Q161" s="43"/>
      <c r="R161" s="71"/>
      <c r="S161" s="71"/>
      <c r="T161" s="72"/>
    </row>
    <row r="162" spans="1:20">
      <c r="A162" s="46"/>
      <c r="B162" s="46"/>
      <c r="C162" s="47"/>
      <c r="D162" s="48"/>
      <c r="E162" s="49"/>
      <c r="F162" s="14"/>
      <c r="G162" s="46"/>
      <c r="H162" s="50"/>
      <c r="I162" s="48"/>
      <c r="J162" s="49"/>
      <c r="K162" s="14"/>
      <c r="L162" s="45"/>
      <c r="M162" s="50"/>
      <c r="N162" s="51"/>
      <c r="O162" s="49"/>
      <c r="P162" s="14"/>
      <c r="Q162" s="67"/>
      <c r="R162" s="67"/>
      <c r="S162" s="67"/>
      <c r="T162" s="67"/>
    </row>
    <row r="163" spans="1:20" ht="15" customHeight="1">
      <c r="A163" s="416" t="s">
        <v>92</v>
      </c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Q163" s="55"/>
    </row>
    <row r="164" spans="1:20">
      <c r="A164" s="26" t="s">
        <v>26</v>
      </c>
      <c r="B164" s="107" t="s">
        <v>27</v>
      </c>
      <c r="C164" s="108">
        <v>1</v>
      </c>
      <c r="D164" s="58">
        <v>9106.74</v>
      </c>
      <c r="E164" s="25">
        <f>C164*D164</f>
        <v>9106.74</v>
      </c>
      <c r="G164" s="23" t="s">
        <v>27</v>
      </c>
      <c r="H164" s="57">
        <v>1</v>
      </c>
      <c r="I164" s="41">
        <v>9106.74</v>
      </c>
      <c r="J164" s="35">
        <f>H164*I164</f>
        <v>9106.74</v>
      </c>
      <c r="L164" s="56" t="s">
        <v>27</v>
      </c>
      <c r="M164" s="59">
        <v>1</v>
      </c>
      <c r="N164" s="41">
        <v>9106.74</v>
      </c>
      <c r="O164" s="35">
        <f>M164*N164</f>
        <v>9106.74</v>
      </c>
      <c r="P164" s="26" t="s">
        <v>26</v>
      </c>
      <c r="Q164" s="60"/>
      <c r="R164" s="61"/>
      <c r="S164" s="61"/>
      <c r="T164" s="62"/>
    </row>
    <row r="165" spans="1:20">
      <c r="A165" s="4" t="s">
        <v>93</v>
      </c>
      <c r="B165" s="23" t="s">
        <v>34</v>
      </c>
      <c r="C165" s="104">
        <v>3</v>
      </c>
      <c r="D165" s="41">
        <v>3434.43</v>
      </c>
      <c r="E165" s="35">
        <f>C165*D165</f>
        <v>10303.289999999999</v>
      </c>
      <c r="G165" s="23" t="s">
        <v>34</v>
      </c>
      <c r="H165" s="57">
        <v>0</v>
      </c>
      <c r="I165" s="41">
        <v>3434.43</v>
      </c>
      <c r="J165" s="35">
        <f>H165*I165</f>
        <v>0</v>
      </c>
      <c r="L165" s="23" t="s">
        <v>34</v>
      </c>
      <c r="M165" s="59">
        <v>3</v>
      </c>
      <c r="N165" s="41">
        <v>3434.43</v>
      </c>
      <c r="O165" s="35">
        <f>M165*N165</f>
        <v>10303.289999999999</v>
      </c>
      <c r="P165" s="4" t="s">
        <v>93</v>
      </c>
      <c r="Q165" s="128"/>
      <c r="R165" s="67"/>
      <c r="S165" s="67"/>
      <c r="T165" s="68"/>
    </row>
    <row r="166" spans="1:20">
      <c r="A166" s="4" t="s">
        <v>65</v>
      </c>
      <c r="B166" s="23" t="s">
        <v>24</v>
      </c>
      <c r="C166" s="104">
        <v>7</v>
      </c>
      <c r="D166" s="41">
        <v>2121.15</v>
      </c>
      <c r="E166" s="35">
        <f>C166*D166</f>
        <v>14848.050000000001</v>
      </c>
      <c r="G166" s="23" t="s">
        <v>24</v>
      </c>
      <c r="H166" s="57">
        <v>0</v>
      </c>
      <c r="I166" s="41">
        <v>2121.15</v>
      </c>
      <c r="J166" s="35">
        <f>H166*I166</f>
        <v>0</v>
      </c>
      <c r="L166" s="23" t="s">
        <v>24</v>
      </c>
      <c r="M166" s="59">
        <v>7</v>
      </c>
      <c r="N166" s="41">
        <v>2984.45</v>
      </c>
      <c r="O166" s="25">
        <f>M166*N166</f>
        <v>20891.149999999998</v>
      </c>
      <c r="P166" s="4" t="s">
        <v>65</v>
      </c>
      <c r="Q166" s="66"/>
      <c r="R166" s="67"/>
      <c r="S166" s="67"/>
      <c r="T166" s="68"/>
    </row>
    <row r="167" spans="1:20">
      <c r="A167" s="109" t="s">
        <v>44</v>
      </c>
      <c r="B167" s="87" t="s">
        <v>45</v>
      </c>
      <c r="C167" s="110">
        <v>3</v>
      </c>
      <c r="D167" s="75">
        <v>1567.95</v>
      </c>
      <c r="E167" s="35">
        <f>C167*D167</f>
        <v>4703.8500000000004</v>
      </c>
      <c r="G167" s="23" t="s">
        <v>45</v>
      </c>
      <c r="H167" s="57">
        <v>0</v>
      </c>
      <c r="I167" s="41">
        <v>1567.95</v>
      </c>
      <c r="J167" s="35">
        <f>H167*I167</f>
        <v>0</v>
      </c>
      <c r="L167" s="23" t="s">
        <v>45</v>
      </c>
      <c r="M167" s="76">
        <v>1</v>
      </c>
      <c r="N167" s="41">
        <v>1567.95</v>
      </c>
      <c r="O167" s="35">
        <f>M167*N167</f>
        <v>1567.95</v>
      </c>
      <c r="P167" s="109" t="s">
        <v>46</v>
      </c>
      <c r="Q167" s="43"/>
      <c r="R167" s="71"/>
      <c r="S167" s="71"/>
      <c r="T167" s="72"/>
    </row>
    <row r="168" spans="1:20" hidden="1">
      <c r="B168" s="23" t="s">
        <v>34</v>
      </c>
      <c r="C168" s="104">
        <v>0</v>
      </c>
      <c r="D168" s="41">
        <v>3434.43</v>
      </c>
      <c r="E168" s="35">
        <f>C168*D168</f>
        <v>0</v>
      </c>
      <c r="G168" s="23" t="s">
        <v>34</v>
      </c>
      <c r="H168" s="57">
        <v>2</v>
      </c>
      <c r="I168" s="41">
        <v>3434.43</v>
      </c>
      <c r="J168" s="35">
        <f>H168*I168</f>
        <v>6868.86</v>
      </c>
      <c r="L168" s="23" t="s">
        <v>34</v>
      </c>
      <c r="M168" s="118">
        <v>0</v>
      </c>
      <c r="N168" s="41">
        <v>3434.43</v>
      </c>
      <c r="O168" s="35">
        <f>M168*N168</f>
        <v>0</v>
      </c>
      <c r="P168" s="49"/>
      <c r="Q168" s="55"/>
    </row>
    <row r="169" spans="1:20">
      <c r="A169" s="46"/>
      <c r="B169" s="46"/>
      <c r="C169" s="47"/>
      <c r="D169" s="48"/>
      <c r="E169" s="49"/>
      <c r="F169" s="14"/>
      <c r="G169" s="46"/>
      <c r="H169" s="50"/>
      <c r="I169" s="48"/>
      <c r="J169" s="49"/>
      <c r="K169" s="14"/>
      <c r="L169" s="45"/>
      <c r="M169" s="50"/>
      <c r="N169" s="51"/>
      <c r="O169" s="49"/>
      <c r="P169" s="49"/>
      <c r="Q169" s="55"/>
    </row>
    <row r="170" spans="1:20" ht="12.75" hidden="1" customHeight="1">
      <c r="A170" s="415" t="s">
        <v>94</v>
      </c>
      <c r="B170" s="415"/>
      <c r="C170" s="415"/>
      <c r="D170" s="415"/>
      <c r="E170" s="415"/>
      <c r="F170" s="415"/>
      <c r="G170" s="415"/>
      <c r="H170" s="415"/>
      <c r="I170" s="415"/>
      <c r="J170" s="415"/>
      <c r="K170" s="415"/>
      <c r="L170" s="415"/>
      <c r="M170" s="415"/>
      <c r="Q170" s="55"/>
    </row>
    <row r="171" spans="1:20" hidden="1">
      <c r="A171" s="14"/>
      <c r="B171" s="129" t="s">
        <v>34</v>
      </c>
      <c r="C171" s="130">
        <v>0</v>
      </c>
      <c r="D171" s="51">
        <v>4726.7</v>
      </c>
      <c r="E171" s="49">
        <f>C171*D171</f>
        <v>0</v>
      </c>
      <c r="F171" s="14"/>
      <c r="G171" s="129" t="s">
        <v>31</v>
      </c>
      <c r="H171" s="131">
        <v>0</v>
      </c>
      <c r="I171" s="51">
        <v>4726.7</v>
      </c>
      <c r="J171" s="49">
        <f>H171*I171</f>
        <v>0</v>
      </c>
      <c r="K171" s="14"/>
      <c r="L171" s="129" t="s">
        <v>31</v>
      </c>
      <c r="M171" s="132">
        <v>0</v>
      </c>
      <c r="N171" s="133">
        <v>4726.7</v>
      </c>
      <c r="O171" s="35">
        <f>M171*N171</f>
        <v>0</v>
      </c>
      <c r="P171" s="26" t="s">
        <v>39</v>
      </c>
      <c r="Q171" s="60"/>
      <c r="R171" s="61"/>
      <c r="S171" s="61"/>
      <c r="T171" s="62"/>
    </row>
    <row r="172" spans="1:20" hidden="1">
      <c r="A172" s="134"/>
      <c r="B172" s="129" t="s">
        <v>22</v>
      </c>
      <c r="C172" s="50">
        <v>0</v>
      </c>
      <c r="D172" s="51"/>
      <c r="E172" s="49"/>
      <c r="F172" s="14"/>
      <c r="G172" s="129"/>
      <c r="H172" s="135"/>
      <c r="I172" s="51"/>
      <c r="J172" s="49"/>
      <c r="K172" s="14"/>
      <c r="L172" s="129" t="s">
        <v>22</v>
      </c>
      <c r="M172" s="132">
        <v>0</v>
      </c>
      <c r="N172" s="133"/>
      <c r="O172" s="25"/>
      <c r="P172" s="42" t="s">
        <v>46</v>
      </c>
      <c r="Q172" s="43"/>
      <c r="R172" s="71"/>
      <c r="S172" s="71"/>
      <c r="T172" s="72"/>
    </row>
    <row r="173" spans="1:20" hidden="1">
      <c r="A173" s="45"/>
      <c r="B173" s="45"/>
      <c r="C173" s="50"/>
      <c r="D173" s="51"/>
      <c r="E173" s="49"/>
      <c r="F173" s="14"/>
      <c r="G173" s="45"/>
      <c r="H173" s="50"/>
      <c r="I173" s="51"/>
      <c r="J173" s="49"/>
      <c r="K173" s="14"/>
      <c r="L173" s="45"/>
      <c r="M173" s="50"/>
      <c r="N173" s="51"/>
      <c r="O173" s="49"/>
      <c r="P173" s="14"/>
      <c r="Q173" s="67"/>
      <c r="R173" s="67"/>
      <c r="S173" s="67"/>
      <c r="T173" s="67"/>
    </row>
    <row r="174" spans="1:20" ht="12.75" hidden="1" customHeight="1">
      <c r="A174" s="415" t="s">
        <v>95</v>
      </c>
      <c r="B174" s="415"/>
      <c r="C174" s="415"/>
      <c r="D174" s="415"/>
      <c r="E174" s="415"/>
      <c r="F174" s="415"/>
      <c r="G174" s="415"/>
      <c r="H174" s="415"/>
      <c r="I174" s="415"/>
      <c r="J174" s="415"/>
      <c r="K174" s="415"/>
      <c r="L174" s="415"/>
      <c r="M174" s="415"/>
      <c r="Q174" s="55"/>
    </row>
    <row r="175" spans="1:20" hidden="1">
      <c r="A175" s="14"/>
      <c r="B175" s="129" t="s">
        <v>34</v>
      </c>
      <c r="C175" s="130">
        <v>0</v>
      </c>
      <c r="D175" s="51">
        <v>4726.7</v>
      </c>
      <c r="E175" s="49">
        <f>C175*D175</f>
        <v>0</v>
      </c>
      <c r="F175" s="14"/>
      <c r="G175" s="129" t="s">
        <v>31</v>
      </c>
      <c r="H175" s="131">
        <v>0</v>
      </c>
      <c r="I175" s="51">
        <v>4726.7</v>
      </c>
      <c r="J175" s="49">
        <f>H175*I175</f>
        <v>0</v>
      </c>
      <c r="K175" s="14"/>
      <c r="L175" s="129" t="s">
        <v>31</v>
      </c>
      <c r="M175" s="132">
        <v>0</v>
      </c>
      <c r="N175" s="133">
        <v>4726.7</v>
      </c>
      <c r="O175" s="35">
        <f>M175*N175</f>
        <v>0</v>
      </c>
      <c r="P175" s="26" t="s">
        <v>39</v>
      </c>
      <c r="Q175" s="60"/>
      <c r="R175" s="61"/>
      <c r="S175" s="61"/>
      <c r="T175" s="62"/>
    </row>
    <row r="176" spans="1:20" hidden="1">
      <c r="A176" s="134"/>
      <c r="B176" s="129" t="s">
        <v>22</v>
      </c>
      <c r="C176" s="50">
        <v>0</v>
      </c>
      <c r="D176" s="51"/>
      <c r="E176" s="49"/>
      <c r="F176" s="14"/>
      <c r="G176" s="129"/>
      <c r="H176" s="135"/>
      <c r="I176" s="51"/>
      <c r="J176" s="49"/>
      <c r="K176" s="14"/>
      <c r="L176" s="129" t="s">
        <v>22</v>
      </c>
      <c r="M176" s="132">
        <v>0</v>
      </c>
      <c r="N176" s="133"/>
      <c r="O176" s="25"/>
      <c r="P176" s="42" t="s">
        <v>46</v>
      </c>
      <c r="Q176" s="43"/>
      <c r="R176" s="71"/>
      <c r="S176" s="71"/>
      <c r="T176" s="72"/>
    </row>
    <row r="177" spans="1:20">
      <c r="A177" s="45"/>
      <c r="B177" s="45"/>
      <c r="C177" s="50"/>
      <c r="D177" s="51"/>
      <c r="E177" s="49"/>
      <c r="F177" s="14"/>
      <c r="G177" s="45"/>
      <c r="H177" s="50"/>
      <c r="I177" s="51"/>
      <c r="J177" s="49"/>
      <c r="K177" s="14"/>
      <c r="L177" s="45"/>
      <c r="M177" s="50"/>
      <c r="N177" s="51"/>
      <c r="O177" s="49"/>
      <c r="P177" s="14"/>
      <c r="Q177" s="67"/>
      <c r="R177" s="67"/>
      <c r="S177" s="67"/>
      <c r="T177" s="67"/>
    </row>
    <row r="178" spans="1:20" ht="15" customHeight="1">
      <c r="A178" s="416" t="s">
        <v>96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6"/>
      <c r="Q178" s="55"/>
    </row>
    <row r="179" spans="1:20">
      <c r="A179" s="26" t="s">
        <v>39</v>
      </c>
      <c r="B179" s="107" t="s">
        <v>31</v>
      </c>
      <c r="C179" s="108">
        <v>1</v>
      </c>
      <c r="D179" s="41">
        <v>4726.7</v>
      </c>
      <c r="E179" s="25">
        <f>C179*D179</f>
        <v>4726.7</v>
      </c>
      <c r="G179" s="23" t="s">
        <v>31</v>
      </c>
      <c r="H179" s="57">
        <v>1</v>
      </c>
      <c r="I179" s="41">
        <v>4726.7</v>
      </c>
      <c r="J179" s="35">
        <f>H179*I179</f>
        <v>4726.7</v>
      </c>
      <c r="L179" s="23" t="s">
        <v>31</v>
      </c>
      <c r="M179" s="59">
        <v>1</v>
      </c>
      <c r="N179" s="41">
        <v>4726.7</v>
      </c>
      <c r="O179" s="35">
        <f>M179*N179</f>
        <v>4726.7</v>
      </c>
      <c r="P179" s="26" t="s">
        <v>39</v>
      </c>
      <c r="Q179" s="60"/>
      <c r="R179" s="61"/>
      <c r="S179" s="61"/>
      <c r="T179" s="62"/>
    </row>
    <row r="180" spans="1:20" hidden="1">
      <c r="A180" s="4"/>
      <c r="B180" s="23" t="s">
        <v>23</v>
      </c>
      <c r="C180" s="34">
        <v>0</v>
      </c>
      <c r="D180" s="41">
        <v>2984.45</v>
      </c>
      <c r="E180" s="35">
        <f>C180*D180</f>
        <v>0</v>
      </c>
      <c r="G180" s="23" t="s">
        <v>23</v>
      </c>
      <c r="H180" s="27">
        <v>0</v>
      </c>
      <c r="I180" s="41">
        <v>2984.45</v>
      </c>
      <c r="J180" s="25">
        <f>H180*I180</f>
        <v>0</v>
      </c>
      <c r="L180" s="23" t="s">
        <v>23</v>
      </c>
      <c r="M180" s="59">
        <v>0</v>
      </c>
      <c r="N180" s="41">
        <v>2984.45</v>
      </c>
      <c r="O180" s="25">
        <f>M180*N180</f>
        <v>0</v>
      </c>
      <c r="P180" s="4"/>
      <c r="Q180" s="66"/>
      <c r="R180" s="67"/>
      <c r="S180" s="67"/>
      <c r="T180" s="68"/>
    </row>
    <row r="181" spans="1:20">
      <c r="A181" s="4" t="s">
        <v>42</v>
      </c>
      <c r="B181" s="23" t="s">
        <v>24</v>
      </c>
      <c r="C181" s="104">
        <v>4</v>
      </c>
      <c r="D181" s="41">
        <v>2121.15</v>
      </c>
      <c r="E181" s="35">
        <f>C181*D181</f>
        <v>8484.6</v>
      </c>
      <c r="G181" s="23" t="s">
        <v>24</v>
      </c>
      <c r="H181" s="36">
        <v>0</v>
      </c>
      <c r="I181" s="41">
        <v>2121.15</v>
      </c>
      <c r="J181" s="35">
        <f>H181*I181</f>
        <v>0</v>
      </c>
      <c r="L181" s="23" t="s">
        <v>24</v>
      </c>
      <c r="M181" s="59">
        <v>4</v>
      </c>
      <c r="N181" s="41">
        <v>3434.43</v>
      </c>
      <c r="O181" s="35">
        <f>M181*N181</f>
        <v>13737.72</v>
      </c>
      <c r="P181" s="4" t="s">
        <v>42</v>
      </c>
      <c r="Q181" s="128"/>
      <c r="R181" s="67"/>
      <c r="S181" s="67"/>
      <c r="T181" s="68"/>
    </row>
    <row r="182" spans="1:20">
      <c r="A182" s="109" t="s">
        <v>44</v>
      </c>
      <c r="B182" s="87" t="s">
        <v>45</v>
      </c>
      <c r="C182" s="110">
        <v>4</v>
      </c>
      <c r="D182" s="75">
        <v>1567.95</v>
      </c>
      <c r="E182" s="65">
        <f>C182*D182</f>
        <v>6271.8</v>
      </c>
      <c r="G182" s="87" t="s">
        <v>45</v>
      </c>
      <c r="H182" s="136">
        <v>0</v>
      </c>
      <c r="I182" s="75">
        <v>1567.95</v>
      </c>
      <c r="J182" s="35">
        <f>H182*I182</f>
        <v>0</v>
      </c>
      <c r="L182" s="23" t="s">
        <v>45</v>
      </c>
      <c r="M182" s="76">
        <v>3</v>
      </c>
      <c r="N182" s="41">
        <v>1567.95</v>
      </c>
      <c r="O182" s="35">
        <f>M182*N182</f>
        <v>4703.8500000000004</v>
      </c>
      <c r="P182" s="109" t="s">
        <v>46</v>
      </c>
      <c r="Q182" s="43"/>
      <c r="R182" s="71"/>
      <c r="S182" s="71"/>
      <c r="T182" s="72"/>
    </row>
    <row r="183" spans="1:20">
      <c r="A183" s="46"/>
      <c r="B183" s="46"/>
      <c r="C183" s="47"/>
      <c r="D183" s="48"/>
      <c r="E183" s="49"/>
      <c r="F183" s="14"/>
      <c r="G183" s="46"/>
      <c r="H183" s="50"/>
      <c r="I183" s="48"/>
      <c r="J183" s="49"/>
      <c r="K183" s="14"/>
      <c r="L183" s="45"/>
      <c r="M183" s="50"/>
      <c r="N183" s="51"/>
      <c r="O183" s="49"/>
      <c r="P183" s="14"/>
      <c r="Q183" s="67"/>
      <c r="R183" s="67"/>
      <c r="S183" s="67"/>
      <c r="T183" s="67"/>
    </row>
    <row r="184" spans="1:20" ht="15" customHeight="1">
      <c r="A184" s="416" t="s">
        <v>97</v>
      </c>
      <c r="B184" s="416"/>
      <c r="C184" s="416"/>
      <c r="D184" s="416"/>
      <c r="E184" s="416"/>
      <c r="F184" s="416"/>
      <c r="G184" s="416"/>
      <c r="H184" s="416"/>
      <c r="I184" s="416"/>
      <c r="J184" s="416"/>
      <c r="K184" s="416"/>
      <c r="L184" s="416"/>
      <c r="M184" s="416"/>
      <c r="Q184" s="55"/>
    </row>
    <row r="185" spans="1:20">
      <c r="A185" s="26" t="s">
        <v>26</v>
      </c>
      <c r="B185" s="107" t="s">
        <v>27</v>
      </c>
      <c r="C185" s="108">
        <v>1</v>
      </c>
      <c r="D185" s="58">
        <v>9106.74</v>
      </c>
      <c r="E185" s="25">
        <f>C185*D185</f>
        <v>9106.74</v>
      </c>
      <c r="G185" s="107" t="s">
        <v>27</v>
      </c>
      <c r="H185" s="89">
        <v>1</v>
      </c>
      <c r="I185" s="58">
        <v>9106.74</v>
      </c>
      <c r="J185" s="35">
        <f>H185*I185</f>
        <v>9106.74</v>
      </c>
      <c r="L185" s="56" t="s">
        <v>27</v>
      </c>
      <c r="M185" s="59">
        <v>1</v>
      </c>
      <c r="N185" s="41">
        <v>9106.74</v>
      </c>
      <c r="O185" s="35">
        <f>M185*N185</f>
        <v>9106.74</v>
      </c>
      <c r="P185" s="26" t="s">
        <v>26</v>
      </c>
      <c r="Q185" s="60"/>
      <c r="R185" s="61"/>
      <c r="S185" s="61"/>
      <c r="T185" s="62"/>
    </row>
    <row r="186" spans="1:20" ht="15" customHeight="1">
      <c r="A186" s="121" t="s">
        <v>67</v>
      </c>
      <c r="B186" s="23" t="s">
        <v>34</v>
      </c>
      <c r="C186" s="104">
        <v>2</v>
      </c>
      <c r="D186" s="41">
        <v>3434.43</v>
      </c>
      <c r="E186" s="35">
        <f>C186*D186</f>
        <v>6868.86</v>
      </c>
      <c r="G186" s="23" t="s">
        <v>34</v>
      </c>
      <c r="H186" s="57">
        <v>0</v>
      </c>
      <c r="I186" s="41">
        <v>3434.43</v>
      </c>
      <c r="J186" s="35">
        <f>H186*I186</f>
        <v>0</v>
      </c>
      <c r="L186" s="23" t="s">
        <v>34</v>
      </c>
      <c r="M186" s="59">
        <v>2</v>
      </c>
      <c r="N186" s="41">
        <v>3434.43</v>
      </c>
      <c r="O186" s="35">
        <f>M186*N186</f>
        <v>6868.86</v>
      </c>
      <c r="P186" s="121" t="s">
        <v>67</v>
      </c>
      <c r="Q186" s="417"/>
      <c r="R186" s="417"/>
      <c r="S186" s="417"/>
      <c r="T186" s="417"/>
    </row>
    <row r="187" spans="1:20" ht="15" customHeight="1">
      <c r="A187" s="4" t="s">
        <v>68</v>
      </c>
      <c r="B187" s="23" t="s">
        <v>24</v>
      </c>
      <c r="C187" s="104">
        <v>4</v>
      </c>
      <c r="D187" s="41">
        <v>2121.15</v>
      </c>
      <c r="E187" s="35">
        <f>C187*D187</f>
        <v>8484.6</v>
      </c>
      <c r="G187" s="23" t="s">
        <v>24</v>
      </c>
      <c r="H187" s="57">
        <v>0</v>
      </c>
      <c r="I187" s="41">
        <v>2121.15</v>
      </c>
      <c r="J187" s="35">
        <f>H187*I187</f>
        <v>0</v>
      </c>
      <c r="L187" s="23" t="s">
        <v>24</v>
      </c>
      <c r="M187" s="59">
        <v>4</v>
      </c>
      <c r="N187" s="41">
        <v>2984.45</v>
      </c>
      <c r="O187" s="25">
        <f>M187*N187</f>
        <v>11937.8</v>
      </c>
      <c r="P187" s="4" t="s">
        <v>68</v>
      </c>
      <c r="Q187" s="417"/>
      <c r="R187" s="417"/>
      <c r="S187" s="417"/>
      <c r="T187" s="417"/>
    </row>
    <row r="188" spans="1:20">
      <c r="A188" s="109" t="s">
        <v>44</v>
      </c>
      <c r="B188" s="87" t="s">
        <v>45</v>
      </c>
      <c r="C188" s="110">
        <v>5</v>
      </c>
      <c r="D188" s="75">
        <v>1567.95</v>
      </c>
      <c r="E188" s="35">
        <f>C188*D188</f>
        <v>7839.75</v>
      </c>
      <c r="G188" s="23" t="s">
        <v>45</v>
      </c>
      <c r="H188" s="57">
        <v>0</v>
      </c>
      <c r="I188" s="41">
        <v>1567.95</v>
      </c>
      <c r="J188" s="35">
        <f>H188*I188</f>
        <v>0</v>
      </c>
      <c r="L188" s="23" t="s">
        <v>45</v>
      </c>
      <c r="M188" s="76">
        <v>2</v>
      </c>
      <c r="N188" s="41">
        <v>1567.95</v>
      </c>
      <c r="O188" s="35">
        <f>M188*N188</f>
        <v>3135.9</v>
      </c>
      <c r="P188" s="109" t="s">
        <v>46</v>
      </c>
      <c r="Q188" s="43"/>
      <c r="R188" s="71"/>
      <c r="S188" s="71"/>
      <c r="T188" s="72"/>
    </row>
    <row r="189" spans="1:20">
      <c r="A189" s="46"/>
      <c r="B189" s="46"/>
      <c r="C189" s="47"/>
      <c r="D189" s="48"/>
      <c r="E189" s="49"/>
      <c r="F189" s="14"/>
      <c r="G189" s="46"/>
      <c r="H189" s="50"/>
      <c r="I189" s="48"/>
      <c r="J189" s="49"/>
      <c r="K189" s="14"/>
      <c r="L189" s="45"/>
      <c r="M189" s="50"/>
      <c r="N189" s="51"/>
      <c r="O189" s="49"/>
      <c r="P189" s="14"/>
      <c r="Q189" s="67"/>
      <c r="R189" s="67"/>
      <c r="S189" s="67"/>
      <c r="T189" s="67"/>
    </row>
    <row r="190" spans="1:20" ht="12.75" hidden="1" customHeight="1">
      <c r="A190" s="418" t="s">
        <v>98</v>
      </c>
      <c r="B190" s="418"/>
      <c r="C190" s="418"/>
      <c r="D190" s="418"/>
      <c r="E190" s="418"/>
      <c r="F190" s="418"/>
      <c r="G190" s="418"/>
      <c r="H190" s="418"/>
      <c r="I190" s="418"/>
      <c r="Q190" s="55"/>
    </row>
    <row r="191" spans="1:20" ht="12.75" hidden="1" customHeight="1">
      <c r="B191" s="107" t="s">
        <v>31</v>
      </c>
      <c r="C191" s="108">
        <v>0</v>
      </c>
      <c r="D191" s="58">
        <v>4726.7</v>
      </c>
      <c r="E191" s="25">
        <f>C191*D191</f>
        <v>0</v>
      </c>
      <c r="G191" s="107" t="s">
        <v>31</v>
      </c>
      <c r="H191" s="113">
        <v>0</v>
      </c>
      <c r="I191" s="58">
        <v>4726.7</v>
      </c>
      <c r="J191" s="35">
        <f>H191*I191</f>
        <v>0</v>
      </c>
      <c r="L191" s="23" t="s">
        <v>31</v>
      </c>
      <c r="M191" s="113">
        <v>0</v>
      </c>
      <c r="N191" s="41">
        <v>4726.7</v>
      </c>
      <c r="O191" s="35">
        <f>M191*N191</f>
        <v>0</v>
      </c>
      <c r="P191" s="49"/>
      <c r="Q191" s="55"/>
    </row>
    <row r="192" spans="1:20" ht="12.75" hidden="1" customHeight="1">
      <c r="B192" s="23" t="s">
        <v>24</v>
      </c>
      <c r="C192" s="104">
        <v>0</v>
      </c>
      <c r="D192" s="41">
        <v>2121.15</v>
      </c>
      <c r="E192" s="35">
        <f>C192*D192</f>
        <v>0</v>
      </c>
      <c r="G192" s="23" t="s">
        <v>24</v>
      </c>
      <c r="H192" s="113">
        <v>0</v>
      </c>
      <c r="I192" s="41">
        <v>2121.15</v>
      </c>
      <c r="J192" s="35">
        <f>H192*I192</f>
        <v>0</v>
      </c>
      <c r="L192" s="23" t="s">
        <v>24</v>
      </c>
      <c r="M192" s="113">
        <v>0</v>
      </c>
      <c r="N192" s="41">
        <v>2121.15</v>
      </c>
      <c r="O192" s="35">
        <f>M192*N192</f>
        <v>0</v>
      </c>
      <c r="P192" s="49"/>
      <c r="Q192" s="55"/>
    </row>
    <row r="193" spans="1:30" ht="12.75" hidden="1" customHeight="1">
      <c r="B193" s="23" t="s">
        <v>45</v>
      </c>
      <c r="C193" s="110">
        <v>0</v>
      </c>
      <c r="D193" s="41">
        <v>1567.95</v>
      </c>
      <c r="E193" s="35">
        <f>C193*D193</f>
        <v>0</v>
      </c>
      <c r="G193" s="23" t="s">
        <v>45</v>
      </c>
      <c r="H193" s="113">
        <v>0</v>
      </c>
      <c r="I193" s="41">
        <v>1567.95</v>
      </c>
      <c r="J193" s="35">
        <f>H193*I193</f>
        <v>0</v>
      </c>
      <c r="L193" s="23" t="s">
        <v>45</v>
      </c>
      <c r="M193" s="137">
        <v>0</v>
      </c>
      <c r="N193" s="41">
        <v>1567.95</v>
      </c>
      <c r="O193" s="35">
        <f>M193*N193</f>
        <v>0</v>
      </c>
      <c r="P193" s="49"/>
      <c r="Q193" s="55"/>
    </row>
    <row r="194" spans="1:30" ht="15.75">
      <c r="B194" s="45"/>
      <c r="C194" s="138">
        <f>SUM(C13:C193)</f>
        <v>195</v>
      </c>
      <c r="D194" s="139"/>
      <c r="E194" s="140">
        <f>SUM(E13:E193)</f>
        <v>593823.70000000019</v>
      </c>
      <c r="H194" s="141">
        <f>SUM(H13:H193)</f>
        <v>47</v>
      </c>
      <c r="J194" s="140">
        <f>SUM(J13:J193)</f>
        <v>292579.57</v>
      </c>
      <c r="M194" s="138">
        <f>SUM(M13:M193)</f>
        <v>171</v>
      </c>
      <c r="O194" s="140">
        <f>SUM(O13:O193)</f>
        <v>567546.98000000033</v>
      </c>
      <c r="P194" s="142"/>
      <c r="W194" s="143"/>
    </row>
    <row r="195" spans="1:30" ht="15.75">
      <c r="B195" s="45"/>
      <c r="C195" s="143"/>
      <c r="D195" s="139"/>
      <c r="E195" s="144"/>
      <c r="H195" s="143"/>
      <c r="J195" s="144"/>
      <c r="M195" s="143"/>
      <c r="O195" s="144"/>
      <c r="P195" s="144"/>
    </row>
    <row r="196" spans="1:30" ht="15.75">
      <c r="B196" s="45"/>
      <c r="D196" s="139"/>
      <c r="E196" s="144"/>
      <c r="H196" s="143"/>
      <c r="J196" s="144"/>
      <c r="L196" s="143"/>
      <c r="M196" s="143"/>
      <c r="O196" s="144"/>
      <c r="P196" s="124" t="s">
        <v>99</v>
      </c>
      <c r="Q196" s="124">
        <v>781</v>
      </c>
      <c r="R196" s="124">
        <v>954</v>
      </c>
    </row>
    <row r="197" spans="1:30">
      <c r="B197" s="45"/>
      <c r="C197" s="130"/>
      <c r="D197" s="139"/>
      <c r="E197" s="55"/>
      <c r="H197" s="145"/>
      <c r="M197" s="145"/>
      <c r="P197" s="124" t="s">
        <v>100</v>
      </c>
      <c r="Q197" s="146">
        <f>+M194</f>
        <v>171</v>
      </c>
      <c r="R197" s="146">
        <f>+C194</f>
        <v>195</v>
      </c>
      <c r="S197" s="146">
        <f>+R197-Q197</f>
        <v>24</v>
      </c>
    </row>
    <row r="198" spans="1:30">
      <c r="B198" s="45"/>
      <c r="C198" s="130"/>
      <c r="D198" s="139"/>
      <c r="E198" s="55"/>
      <c r="H198" s="145"/>
      <c r="M198" s="145"/>
      <c r="P198" s="124" t="s">
        <v>101</v>
      </c>
      <c r="Q198" s="147">
        <f>+Q197/Q196</f>
        <v>0.21895006402048656</v>
      </c>
      <c r="R198" s="147">
        <f>+R197/R196</f>
        <v>0.20440251572327045</v>
      </c>
    </row>
    <row r="199" spans="1:30">
      <c r="B199" s="45"/>
      <c r="O199" s="148">
        <f>E194-O194</f>
        <v>26276.719999999856</v>
      </c>
    </row>
    <row r="200" spans="1:30">
      <c r="A200" s="149" t="s">
        <v>102</v>
      </c>
      <c r="B200" s="126"/>
      <c r="C200" s="150"/>
      <c r="D200" s="150"/>
      <c r="F200" s="23">
        <v>195</v>
      </c>
      <c r="G200" s="151">
        <f>+C194</f>
        <v>195</v>
      </c>
      <c r="AA200" s="139"/>
    </row>
    <row r="201" spans="1:30">
      <c r="A201" s="149" t="s">
        <v>103</v>
      </c>
      <c r="B201" s="126"/>
      <c r="C201" s="150"/>
      <c r="D201" s="150"/>
      <c r="F201" s="34">
        <f>M194</f>
        <v>171</v>
      </c>
      <c r="G201" s="151">
        <f>+M194</f>
        <v>171</v>
      </c>
      <c r="H201" s="152"/>
      <c r="U201" s="34">
        <f>M194+'B - JUD'!M170</f>
        <v>303</v>
      </c>
      <c r="V201" s="34">
        <f>113+66</f>
        <v>179</v>
      </c>
      <c r="AA201" s="139"/>
    </row>
    <row r="202" spans="1:30">
      <c r="A202" s="153" t="s">
        <v>104</v>
      </c>
      <c r="B202" s="154"/>
      <c r="C202" s="155"/>
      <c r="D202" s="155"/>
      <c r="E202" s="156"/>
      <c r="F202" s="157">
        <f>F201-F200</f>
        <v>-24</v>
      </c>
      <c r="G202" s="158">
        <f>+G200-G201</f>
        <v>24</v>
      </c>
      <c r="U202" s="23">
        <f>178+28+10</f>
        <v>216</v>
      </c>
      <c r="V202" s="23">
        <v>178</v>
      </c>
      <c r="AA202" s="139"/>
    </row>
    <row r="203" spans="1:30">
      <c r="A203" s="149" t="s">
        <v>105</v>
      </c>
      <c r="B203" s="126"/>
      <c r="C203" s="150"/>
      <c r="D203" s="150"/>
      <c r="F203" s="159">
        <f>F202/F200</f>
        <v>-0.12307692307692308</v>
      </c>
      <c r="G203" s="160">
        <f>+G202/G200</f>
        <v>0.12307692307692308</v>
      </c>
      <c r="H203" s="152"/>
      <c r="R203" s="134"/>
      <c r="S203" s="149"/>
      <c r="T203" s="161" t="s">
        <v>106</v>
      </c>
      <c r="U203" s="34">
        <f>U201-U202</f>
        <v>87</v>
      </c>
      <c r="V203" s="34">
        <f>V201-V202</f>
        <v>1</v>
      </c>
      <c r="AA203" s="139"/>
    </row>
    <row r="204" spans="1:30">
      <c r="B204" s="45"/>
      <c r="C204" s="130"/>
      <c r="AA204" s="139"/>
    </row>
    <row r="205" spans="1:30">
      <c r="B205" s="45"/>
      <c r="C205" s="130"/>
      <c r="AA205" s="139"/>
    </row>
    <row r="206" spans="1:30">
      <c r="B206" s="45"/>
      <c r="C206" s="130"/>
      <c r="P206" s="152"/>
      <c r="AA206" s="139"/>
      <c r="AB206" s="139"/>
    </row>
    <row r="207" spans="1:30">
      <c r="B207" s="45"/>
      <c r="C207" s="130"/>
      <c r="L207" s="152"/>
      <c r="P207" s="152"/>
      <c r="AA207" s="139"/>
      <c r="AC207" s="139"/>
      <c r="AD207" s="139"/>
    </row>
  </sheetData>
  <sheetProtection selectLockedCells="1" selectUnlockedCells="1"/>
  <mergeCells count="55">
    <mergeCell ref="A36:O36"/>
    <mergeCell ref="A4:T4"/>
    <mergeCell ref="A8:E8"/>
    <mergeCell ref="G8:J8"/>
    <mergeCell ref="L8:O8"/>
    <mergeCell ref="A9:E9"/>
    <mergeCell ref="G9:J9"/>
    <mergeCell ref="L9:O9"/>
    <mergeCell ref="Q10:T10"/>
    <mergeCell ref="A12:E12"/>
    <mergeCell ref="A17:H17"/>
    <mergeCell ref="A23:P23"/>
    <mergeCell ref="A30:O30"/>
    <mergeCell ref="Q85:R85"/>
    <mergeCell ref="A41:O41"/>
    <mergeCell ref="A47:M47"/>
    <mergeCell ref="A52:M52"/>
    <mergeCell ref="Q55:T55"/>
    <mergeCell ref="Q56:T56"/>
    <mergeCell ref="A58:M58"/>
    <mergeCell ref="A64:M64"/>
    <mergeCell ref="A68:M68"/>
    <mergeCell ref="A75:M75"/>
    <mergeCell ref="A81:M81"/>
    <mergeCell ref="Q82:T82"/>
    <mergeCell ref="Q119:T120"/>
    <mergeCell ref="A124:M124"/>
    <mergeCell ref="A87:M87"/>
    <mergeCell ref="A92:M92"/>
    <mergeCell ref="A96:M96"/>
    <mergeCell ref="Q98:T98"/>
    <mergeCell ref="A100:I100"/>
    <mergeCell ref="A102:I102"/>
    <mergeCell ref="A139:M139"/>
    <mergeCell ref="A104:I104"/>
    <mergeCell ref="A107:M107"/>
    <mergeCell ref="A113:M113"/>
    <mergeCell ref="A118:M118"/>
    <mergeCell ref="Q125:T126"/>
    <mergeCell ref="A129:M129"/>
    <mergeCell ref="Q130:T131"/>
    <mergeCell ref="A134:M134"/>
    <mergeCell ref="Q135:T136"/>
    <mergeCell ref="A190:I190"/>
    <mergeCell ref="A145:M145"/>
    <mergeCell ref="A150:M150"/>
    <mergeCell ref="A154:M154"/>
    <mergeCell ref="A158:M158"/>
    <mergeCell ref="A163:M163"/>
    <mergeCell ref="A170:M170"/>
    <mergeCell ref="A174:M174"/>
    <mergeCell ref="A178:M178"/>
    <mergeCell ref="A184:M184"/>
    <mergeCell ref="Q186:T186"/>
    <mergeCell ref="Q187:T187"/>
  </mergeCells>
  <printOptions horizontalCentered="1" verticalCentered="1"/>
  <pageMargins left="0.39374999999999999" right="0.39374999999999999" top="0.59027777777777779" bottom="0.39374999999999999" header="0.51180555555555551" footer="0"/>
  <pageSetup paperSize="9" scale="73" firstPageNumber="0" orientation="landscape" horizontalDpi="300" verticalDpi="300" r:id="rId1"/>
  <headerFooter alignWithMargins="0">
    <oddFooter>&amp;C&amp;"Calibri,Regular"&amp;11&amp;P</oddFooter>
  </headerFooter>
  <rowBreaks count="5" manualBreakCount="5">
    <brk id="39" max="16383" man="1"/>
    <brk id="73" max="16383" man="1"/>
    <brk id="105" max="16383" man="1"/>
    <brk id="137" max="16383" man="1"/>
    <brk id="168" max="16383" man="1"/>
  </rowBreaks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9.42578125" defaultRowHeight="15"/>
  <cols>
    <col min="1" max="16384" width="9.42578125" style="1"/>
  </cols>
  <sheetData/>
  <sheetProtection selectLockedCells="1" selectUnlockedCells="1"/>
  <pageMargins left="0.51180555555555551" right="0.51180555555555551" top="0.78749999999999998" bottom="0.78749999999999998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4"/>
  <sheetViews>
    <sheetView view="pageBreakPreview" zoomScaleNormal="70" zoomScaleSheetLayoutView="100" workbookViewId="0"/>
  </sheetViews>
  <sheetFormatPr defaultColWidth="9.42578125" defaultRowHeight="15"/>
  <cols>
    <col min="1" max="1" width="40.140625" style="1" customWidth="1"/>
    <col min="2" max="2" width="7.85546875" style="1" customWidth="1"/>
    <col min="3" max="3" width="14.85546875" style="1" customWidth="1"/>
    <col min="4" max="4" width="9.140625" style="1" customWidth="1"/>
    <col min="5" max="11" width="0" style="1" hidden="1" customWidth="1"/>
    <col min="12" max="12" width="14.7109375" style="1" customWidth="1"/>
    <col min="13" max="13" width="16.7109375" style="1" customWidth="1"/>
    <col min="14" max="14" width="47.85546875" style="1" customWidth="1"/>
    <col min="15" max="15" width="13.42578125" style="1" customWidth="1"/>
    <col min="16" max="17" width="9.42578125" style="1"/>
    <col min="18" max="18" width="23.42578125" style="1" customWidth="1"/>
    <col min="19" max="16384" width="9.42578125" style="1"/>
  </cols>
  <sheetData>
    <row r="1" spans="1:18" ht="21">
      <c r="A1" s="2" t="s">
        <v>0</v>
      </c>
    </row>
    <row r="2" spans="1:18" ht="21">
      <c r="A2" s="2" t="s">
        <v>107</v>
      </c>
    </row>
    <row r="3" spans="1:18" ht="21">
      <c r="A3" s="2"/>
    </row>
    <row r="4" spans="1:18" ht="21">
      <c r="A4" s="428" t="s">
        <v>108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</row>
    <row r="5" spans="1:18" ht="15.75">
      <c r="A5" s="162" t="s">
        <v>109</v>
      </c>
      <c r="B5" s="163"/>
      <c r="C5" s="105"/>
      <c r="D5" s="105"/>
      <c r="E5" s="105"/>
      <c r="F5" s="105"/>
      <c r="G5" s="105"/>
      <c r="H5" s="105"/>
      <c r="I5" s="105"/>
      <c r="J5" s="105"/>
    </row>
    <row r="6" spans="1:18" ht="12" customHeight="1">
      <c r="A6" s="3"/>
      <c r="B6" s="105"/>
      <c r="C6" s="105"/>
      <c r="D6" s="105"/>
      <c r="E6" s="105"/>
      <c r="F6" s="105"/>
      <c r="G6" s="105"/>
      <c r="H6" s="105"/>
      <c r="I6" s="105"/>
      <c r="J6" s="105"/>
    </row>
    <row r="7" spans="1:18">
      <c r="A7" s="429" t="s">
        <v>4</v>
      </c>
      <c r="B7" s="429"/>
      <c r="C7" s="429"/>
      <c r="D7" s="4"/>
      <c r="E7" s="430" t="s">
        <v>5</v>
      </c>
      <c r="F7" s="430"/>
      <c r="G7" s="430"/>
      <c r="H7" s="430"/>
      <c r="J7" s="431" t="s">
        <v>6</v>
      </c>
      <c r="K7" s="431"/>
      <c r="L7" s="431"/>
      <c r="M7" s="431"/>
    </row>
    <row r="8" spans="1:18">
      <c r="A8" s="450" t="s">
        <v>7</v>
      </c>
      <c r="B8" s="450"/>
      <c r="C8" s="450"/>
      <c r="D8" s="4"/>
      <c r="E8" s="429" t="s">
        <v>8</v>
      </c>
      <c r="F8" s="429"/>
      <c r="G8" s="429"/>
      <c r="H8" s="429"/>
      <c r="J8" s="451" t="s">
        <v>9</v>
      </c>
      <c r="K8" s="451"/>
      <c r="L8" s="451"/>
      <c r="M8" s="451"/>
    </row>
    <row r="9" spans="1:18" ht="45">
      <c r="A9" s="10" t="s">
        <v>10</v>
      </c>
      <c r="B9" s="9" t="s">
        <v>11</v>
      </c>
      <c r="C9" s="9" t="s">
        <v>12</v>
      </c>
      <c r="D9" s="4"/>
      <c r="E9" s="9" t="s">
        <v>11</v>
      </c>
      <c r="F9" s="9" t="s">
        <v>12</v>
      </c>
      <c r="G9" s="164" t="s">
        <v>13</v>
      </c>
      <c r="H9" s="164" t="s">
        <v>14</v>
      </c>
      <c r="I9" s="124"/>
      <c r="J9" s="10" t="s">
        <v>11</v>
      </c>
      <c r="K9" s="10" t="s">
        <v>12</v>
      </c>
      <c r="L9" s="10" t="s">
        <v>11</v>
      </c>
      <c r="M9" s="10" t="s">
        <v>12</v>
      </c>
      <c r="N9" s="9"/>
      <c r="O9" s="426" t="s">
        <v>15</v>
      </c>
      <c r="P9" s="426"/>
      <c r="Q9" s="426"/>
      <c r="R9" s="426"/>
    </row>
    <row r="10" spans="1:18" ht="13.5" customHeight="1">
      <c r="A10" s="165"/>
      <c r="B10" s="166"/>
      <c r="C10" s="166"/>
      <c r="D10" s="134"/>
      <c r="E10" s="166"/>
      <c r="F10" s="166"/>
      <c r="G10" s="166"/>
      <c r="H10" s="166"/>
      <c r="I10" s="166"/>
      <c r="J10" s="166"/>
      <c r="K10" s="31"/>
      <c r="L10" s="31"/>
      <c r="M10" s="31"/>
    </row>
    <row r="11" spans="1:18" ht="15" customHeight="1">
      <c r="A11" s="444" t="s">
        <v>110</v>
      </c>
      <c r="B11" s="444"/>
      <c r="C11" s="444"/>
      <c r="D11" s="134"/>
      <c r="E11" s="167"/>
      <c r="F11" s="168"/>
      <c r="G11" s="167"/>
      <c r="H11" s="167"/>
      <c r="I11" s="134"/>
      <c r="J11" s="169"/>
      <c r="K11" s="14"/>
      <c r="L11" s="167"/>
      <c r="M11" s="168"/>
      <c r="N11" s="170"/>
    </row>
    <row r="12" spans="1:18">
      <c r="A12" s="33" t="s">
        <v>111</v>
      </c>
      <c r="B12" s="23" t="s">
        <v>34</v>
      </c>
      <c r="C12" s="104">
        <v>1</v>
      </c>
      <c r="D12" s="119"/>
      <c r="E12" s="23" t="s">
        <v>34</v>
      </c>
      <c r="F12" s="57">
        <v>5</v>
      </c>
      <c r="G12" s="171">
        <v>3434.43</v>
      </c>
      <c r="H12" s="171">
        <f>F12*G12</f>
        <v>17172.149999999998</v>
      </c>
      <c r="I12" s="105"/>
      <c r="J12" s="171" t="str">
        <f>+"#REF!-H12"</f>
        <v>#REF!-H12</v>
      </c>
      <c r="L12" s="23" t="s">
        <v>34</v>
      </c>
      <c r="M12" s="29">
        <v>1</v>
      </c>
      <c r="N12" s="22" t="s">
        <v>111</v>
      </c>
      <c r="O12" s="60"/>
      <c r="P12" s="61"/>
      <c r="Q12" s="61"/>
      <c r="R12" s="62"/>
    </row>
    <row r="13" spans="1:18">
      <c r="A13" s="33" t="s">
        <v>42</v>
      </c>
      <c r="B13" s="23" t="s">
        <v>24</v>
      </c>
      <c r="C13" s="34">
        <v>5</v>
      </c>
      <c r="D13" s="105"/>
      <c r="E13" s="23" t="s">
        <v>24</v>
      </c>
      <c r="F13" s="57">
        <v>7</v>
      </c>
      <c r="G13" s="171">
        <v>2121.15</v>
      </c>
      <c r="H13" s="171">
        <f>F13*G13</f>
        <v>14848.050000000001</v>
      </c>
      <c r="I13" s="105"/>
      <c r="J13" s="171" t="str">
        <f>+"#REF!-H13"</f>
        <v>#REF!-H13</v>
      </c>
      <c r="L13" s="23" t="s">
        <v>24</v>
      </c>
      <c r="M13" s="29">
        <v>5</v>
      </c>
      <c r="N13" s="33" t="s">
        <v>42</v>
      </c>
      <c r="O13" s="66"/>
      <c r="P13" s="67"/>
      <c r="Q13" s="67"/>
      <c r="R13" s="68"/>
    </row>
    <row r="14" spans="1:18">
      <c r="A14" s="42" t="s">
        <v>44</v>
      </c>
      <c r="B14" s="23" t="s">
        <v>45</v>
      </c>
      <c r="C14" s="104">
        <v>2</v>
      </c>
      <c r="D14" s="121"/>
      <c r="E14" s="23" t="s">
        <v>45</v>
      </c>
      <c r="F14" s="57">
        <v>0</v>
      </c>
      <c r="G14" s="171">
        <v>1567.95</v>
      </c>
      <c r="H14" s="171">
        <f>F14*G14</f>
        <v>0</v>
      </c>
      <c r="I14" s="105"/>
      <c r="J14" s="171" t="str">
        <f>+"#REF!-H14"</f>
        <v>#REF!-H14</v>
      </c>
      <c r="L14" s="23" t="s">
        <v>45</v>
      </c>
      <c r="M14" s="29">
        <v>2</v>
      </c>
      <c r="N14" s="42" t="s">
        <v>46</v>
      </c>
      <c r="O14" s="43"/>
      <c r="P14" s="71"/>
      <c r="Q14" s="71"/>
      <c r="R14" s="72"/>
    </row>
    <row r="15" spans="1:18" ht="10.5" customHeight="1">
      <c r="A15" s="52"/>
      <c r="B15" s="46"/>
      <c r="C15" s="172"/>
      <c r="D15" s="134"/>
      <c r="E15" s="46"/>
      <c r="F15" s="172"/>
      <c r="G15" s="173"/>
      <c r="H15" s="173"/>
      <c r="I15" s="134"/>
      <c r="J15" s="173"/>
      <c r="K15" s="14"/>
      <c r="L15" s="45"/>
      <c r="M15" s="130"/>
      <c r="N15" s="174"/>
      <c r="O15" s="67"/>
      <c r="P15" s="67"/>
      <c r="Q15" s="67"/>
      <c r="R15" s="67"/>
    </row>
    <row r="16" spans="1:18" ht="15" customHeight="1">
      <c r="A16" s="445" t="s">
        <v>112</v>
      </c>
      <c r="B16" s="445"/>
      <c r="C16" s="445"/>
      <c r="D16" s="445"/>
      <c r="E16" s="445"/>
      <c r="F16" s="445"/>
      <c r="G16" s="445"/>
      <c r="H16" s="175"/>
      <c r="I16" s="134"/>
      <c r="J16" s="175"/>
      <c r="K16" s="14"/>
      <c r="L16" s="14"/>
      <c r="M16" s="14"/>
    </row>
    <row r="17" spans="1:18">
      <c r="A17" s="176" t="s">
        <v>113</v>
      </c>
      <c r="B17" s="23" t="s">
        <v>27</v>
      </c>
      <c r="C17" s="104">
        <v>1</v>
      </c>
      <c r="D17" s="119"/>
      <c r="E17" s="56" t="s">
        <v>28</v>
      </c>
      <c r="F17" s="57">
        <v>1</v>
      </c>
      <c r="G17" s="58">
        <v>10352.52</v>
      </c>
      <c r="H17" s="171">
        <f>F17*G17</f>
        <v>10352.52</v>
      </c>
      <c r="I17" s="105"/>
      <c r="J17" s="171" t="str">
        <f>+"#REF!-H17"</f>
        <v>#REF!-H17</v>
      </c>
      <c r="L17" s="56" t="s">
        <v>27</v>
      </c>
      <c r="M17" s="29">
        <v>1</v>
      </c>
      <c r="N17" s="176" t="s">
        <v>113</v>
      </c>
      <c r="O17" s="149"/>
      <c r="P17" s="126"/>
      <c r="Q17" s="126"/>
      <c r="R17" s="127"/>
    </row>
    <row r="18" spans="1:18" ht="12" customHeight="1">
      <c r="A18" s="52"/>
      <c r="B18" s="45"/>
      <c r="C18" s="130"/>
      <c r="D18" s="134"/>
      <c r="E18" s="46"/>
      <c r="F18" s="172"/>
      <c r="G18" s="173"/>
      <c r="H18" s="173"/>
      <c r="I18" s="134"/>
      <c r="J18" s="173"/>
      <c r="K18" s="14"/>
      <c r="L18" s="45"/>
      <c r="M18" s="130"/>
      <c r="N18" s="52"/>
      <c r="O18" s="14"/>
      <c r="P18" s="14"/>
      <c r="Q18" s="14"/>
      <c r="R18" s="14"/>
    </row>
    <row r="19" spans="1:18" ht="12.75" hidden="1" customHeight="1">
      <c r="A19" s="415" t="s">
        <v>114</v>
      </c>
      <c r="B19" s="415"/>
      <c r="C19" s="415"/>
      <c r="D19" s="415"/>
      <c r="E19" s="415"/>
      <c r="F19" s="415"/>
      <c r="G19" s="415"/>
      <c r="H19" s="175"/>
      <c r="I19" s="134"/>
      <c r="J19" s="175"/>
      <c r="K19" s="14"/>
      <c r="L19" s="14"/>
      <c r="M19" s="14"/>
    </row>
    <row r="20" spans="1:18" hidden="1">
      <c r="A20" s="177"/>
      <c r="B20" s="177" t="s">
        <v>31</v>
      </c>
      <c r="C20" s="178">
        <v>0</v>
      </c>
      <c r="D20" s="134"/>
      <c r="E20" s="177" t="s">
        <v>31</v>
      </c>
      <c r="F20" s="93">
        <v>1</v>
      </c>
      <c r="G20" s="179">
        <v>4726.7</v>
      </c>
      <c r="H20" s="171">
        <f>F20*G20</f>
        <v>4726.7</v>
      </c>
      <c r="I20" s="105"/>
      <c r="J20" s="171" t="str">
        <f>+"#REF!-H20"</f>
        <v>#REF!-H20</v>
      </c>
      <c r="L20" s="23" t="s">
        <v>31</v>
      </c>
      <c r="M20" s="59">
        <v>0</v>
      </c>
      <c r="N20" s="22" t="s">
        <v>39</v>
      </c>
      <c r="O20" s="180"/>
      <c r="P20" s="31"/>
      <c r="Q20" s="31"/>
      <c r="R20" s="32"/>
    </row>
    <row r="21" spans="1:18" hidden="1">
      <c r="A21" s="177"/>
      <c r="B21" s="177" t="s">
        <v>22</v>
      </c>
      <c r="C21" s="178">
        <v>0</v>
      </c>
      <c r="D21" s="134"/>
      <c r="E21" s="177"/>
      <c r="F21" s="93"/>
      <c r="G21" s="181"/>
      <c r="H21" s="171"/>
      <c r="I21" s="105"/>
      <c r="J21" s="171"/>
      <c r="L21" s="23" t="s">
        <v>22</v>
      </c>
      <c r="M21" s="29">
        <v>0</v>
      </c>
      <c r="N21" s="42" t="s">
        <v>44</v>
      </c>
      <c r="O21" s="182"/>
      <c r="P21" s="16"/>
      <c r="Q21" s="16"/>
      <c r="R21" s="44"/>
    </row>
    <row r="22" spans="1:18">
      <c r="A22" s="52"/>
      <c r="B22" s="45"/>
      <c r="C22" s="130"/>
      <c r="D22" s="134"/>
      <c r="E22" s="45"/>
      <c r="F22" s="130"/>
      <c r="G22" s="183"/>
      <c r="H22" s="173"/>
      <c r="I22" s="134"/>
      <c r="J22" s="173"/>
      <c r="K22" s="14"/>
      <c r="L22" s="45"/>
      <c r="M22" s="130"/>
      <c r="N22" s="52"/>
    </row>
    <row r="23" spans="1:18" ht="15" customHeight="1">
      <c r="A23" s="445" t="s">
        <v>115</v>
      </c>
      <c r="B23" s="445"/>
      <c r="C23" s="445"/>
      <c r="D23" s="445"/>
      <c r="E23" s="445"/>
      <c r="F23" s="445"/>
      <c r="G23" s="445"/>
      <c r="H23" s="175"/>
      <c r="I23" s="134"/>
      <c r="J23" s="175"/>
      <c r="K23" s="14"/>
      <c r="L23" s="14"/>
      <c r="M23" s="14"/>
    </row>
    <row r="24" spans="1:18">
      <c r="A24" s="23"/>
      <c r="B24" s="23" t="s">
        <v>34</v>
      </c>
      <c r="C24" s="104">
        <v>0</v>
      </c>
      <c r="D24" s="105"/>
      <c r="E24" s="23" t="s">
        <v>31</v>
      </c>
      <c r="F24" s="57">
        <v>1</v>
      </c>
      <c r="G24" s="41">
        <v>4726.7</v>
      </c>
      <c r="H24" s="171">
        <f>F24*G24</f>
        <v>4726.7</v>
      </c>
      <c r="I24" s="105"/>
      <c r="J24" s="171" t="str">
        <f>+"#REF!-H24"</f>
        <v>#REF!-H24</v>
      </c>
      <c r="L24" s="23" t="s">
        <v>34</v>
      </c>
      <c r="M24" s="184">
        <v>1</v>
      </c>
      <c r="N24" s="176" t="s">
        <v>35</v>
      </c>
      <c r="O24" s="185" t="s">
        <v>116</v>
      </c>
      <c r="P24" s="126"/>
      <c r="Q24" s="126"/>
      <c r="R24" s="127"/>
    </row>
    <row r="25" spans="1:18">
      <c r="A25" s="52"/>
      <c r="B25" s="46"/>
      <c r="C25" s="172"/>
      <c r="D25" s="134"/>
      <c r="E25" s="46"/>
      <c r="F25" s="172"/>
      <c r="G25" s="173"/>
      <c r="H25" s="173"/>
      <c r="I25" s="134"/>
      <c r="J25" s="173"/>
      <c r="K25" s="14"/>
      <c r="L25" s="45"/>
      <c r="M25" s="130"/>
      <c r="N25" s="52"/>
      <c r="O25" s="14"/>
      <c r="P25" s="14"/>
      <c r="Q25" s="14"/>
      <c r="R25" s="14"/>
    </row>
    <row r="26" spans="1:18" ht="15" customHeight="1">
      <c r="A26" s="445" t="s">
        <v>117</v>
      </c>
      <c r="B26" s="445"/>
      <c r="C26" s="445"/>
      <c r="D26" s="445"/>
      <c r="E26" s="445"/>
      <c r="F26" s="445"/>
      <c r="G26" s="445"/>
      <c r="H26" s="175"/>
      <c r="I26" s="134"/>
      <c r="J26" s="175"/>
      <c r="K26" s="14"/>
      <c r="L26" s="14"/>
      <c r="M26" s="14"/>
    </row>
    <row r="27" spans="1:18">
      <c r="A27" s="22" t="s">
        <v>118</v>
      </c>
      <c r="B27" s="23" t="s">
        <v>27</v>
      </c>
      <c r="C27" s="104">
        <v>1</v>
      </c>
      <c r="D27" s="105"/>
      <c r="E27" s="56" t="s">
        <v>28</v>
      </c>
      <c r="F27" s="57">
        <v>1</v>
      </c>
      <c r="G27" s="58">
        <v>10352.52</v>
      </c>
      <c r="H27" s="171">
        <f>F27*G27</f>
        <v>10352.52</v>
      </c>
      <c r="I27" s="105"/>
      <c r="J27" s="171" t="str">
        <f>+"#REF!-H27"</f>
        <v>#REF!-H27</v>
      </c>
      <c r="L27" s="56" t="s">
        <v>27</v>
      </c>
      <c r="M27" s="59">
        <v>1</v>
      </c>
      <c r="N27" s="22" t="s">
        <v>118</v>
      </c>
      <c r="O27" s="60"/>
      <c r="P27" s="31"/>
      <c r="Q27" s="31"/>
      <c r="R27" s="32"/>
    </row>
    <row r="28" spans="1:18">
      <c r="A28" s="33" t="s">
        <v>119</v>
      </c>
      <c r="B28" s="23" t="s">
        <v>31</v>
      </c>
      <c r="C28" s="104">
        <v>2</v>
      </c>
      <c r="D28" s="105"/>
      <c r="E28" s="23" t="s">
        <v>31</v>
      </c>
      <c r="F28" s="57">
        <v>0</v>
      </c>
      <c r="G28" s="41">
        <v>4726.7</v>
      </c>
      <c r="H28" s="171">
        <f>F28*G28</f>
        <v>0</v>
      </c>
      <c r="I28" s="105"/>
      <c r="J28" s="171" t="str">
        <f>+"#REF!-H28"</f>
        <v>#REF!-H28</v>
      </c>
      <c r="L28" s="23" t="s">
        <v>31</v>
      </c>
      <c r="M28" s="59">
        <v>0</v>
      </c>
      <c r="N28" s="33" t="s">
        <v>119</v>
      </c>
      <c r="O28" s="120"/>
      <c r="P28" s="14"/>
      <c r="Q28" s="14"/>
      <c r="R28" s="39"/>
    </row>
    <row r="29" spans="1:18" hidden="1">
      <c r="A29" s="177"/>
      <c r="B29" s="23" t="s">
        <v>34</v>
      </c>
      <c r="C29" s="104">
        <v>0</v>
      </c>
      <c r="D29" s="105"/>
      <c r="E29" s="23" t="s">
        <v>34</v>
      </c>
      <c r="F29" s="57">
        <v>3</v>
      </c>
      <c r="G29" s="171">
        <v>3434.43</v>
      </c>
      <c r="H29" s="171">
        <f>F29*G29</f>
        <v>10303.289999999999</v>
      </c>
      <c r="I29" s="105"/>
      <c r="J29" s="171" t="str">
        <f>+"#REF!-H29"</f>
        <v>#REF!-H29</v>
      </c>
      <c r="L29" s="23" t="s">
        <v>34</v>
      </c>
      <c r="M29" s="118">
        <v>0</v>
      </c>
      <c r="N29" s="177"/>
      <c r="O29" s="120"/>
      <c r="P29" s="14"/>
      <c r="Q29" s="14"/>
      <c r="R29" s="39"/>
    </row>
    <row r="30" spans="1:18">
      <c r="A30" s="177"/>
      <c r="B30" s="23" t="s">
        <v>34</v>
      </c>
      <c r="C30" s="104">
        <v>0</v>
      </c>
      <c r="D30" s="105"/>
      <c r="E30" s="23"/>
      <c r="F30" s="57"/>
      <c r="G30" s="171"/>
      <c r="H30" s="171"/>
      <c r="I30" s="105"/>
      <c r="J30" s="171"/>
      <c r="L30" s="23" t="s">
        <v>34</v>
      </c>
      <c r="M30" s="59">
        <v>2</v>
      </c>
      <c r="N30" s="33" t="s">
        <v>119</v>
      </c>
      <c r="O30" s="120"/>
      <c r="P30" s="14"/>
      <c r="Q30" s="14"/>
      <c r="R30" s="39"/>
    </row>
    <row r="31" spans="1:18">
      <c r="A31" s="69" t="s">
        <v>42</v>
      </c>
      <c r="B31" s="23" t="s">
        <v>24</v>
      </c>
      <c r="C31" s="104">
        <v>1</v>
      </c>
      <c r="D31" s="105"/>
      <c r="E31" s="23" t="s">
        <v>24</v>
      </c>
      <c r="F31" s="57">
        <v>1</v>
      </c>
      <c r="G31" s="171">
        <v>2121.15</v>
      </c>
      <c r="H31" s="171">
        <f>F31*G31</f>
        <v>2121.15</v>
      </c>
      <c r="I31" s="105"/>
      <c r="J31" s="171" t="str">
        <f>+"#REF!-H30"</f>
        <v>#REF!-H30</v>
      </c>
      <c r="L31" s="23" t="s">
        <v>24</v>
      </c>
      <c r="M31" s="59">
        <v>1</v>
      </c>
      <c r="N31" s="69" t="s">
        <v>42</v>
      </c>
      <c r="O31" s="182"/>
      <c r="P31" s="16"/>
      <c r="Q31" s="16"/>
      <c r="R31" s="44"/>
    </row>
    <row r="32" spans="1:18">
      <c r="A32" s="52"/>
      <c r="B32" s="46"/>
      <c r="C32" s="172"/>
      <c r="D32" s="134"/>
      <c r="E32" s="46"/>
      <c r="F32" s="172"/>
      <c r="G32" s="173"/>
      <c r="H32" s="173"/>
      <c r="I32" s="134"/>
      <c r="J32" s="173"/>
      <c r="K32" s="14"/>
      <c r="L32" s="45"/>
      <c r="M32" s="130"/>
      <c r="N32" s="52"/>
      <c r="O32" s="14"/>
      <c r="P32" s="14"/>
      <c r="Q32" s="14"/>
      <c r="R32" s="14"/>
    </row>
    <row r="33" spans="1:18" ht="15" customHeight="1">
      <c r="A33" s="444" t="s">
        <v>120</v>
      </c>
      <c r="B33" s="444"/>
      <c r="C33" s="444"/>
      <c r="D33" s="444"/>
      <c r="E33" s="444"/>
      <c r="F33" s="444"/>
      <c r="G33" s="444"/>
      <c r="H33" s="175"/>
      <c r="I33" s="134"/>
      <c r="J33" s="175"/>
      <c r="K33" s="14"/>
      <c r="L33" s="14"/>
      <c r="M33" s="14"/>
      <c r="N33" s="183"/>
    </row>
    <row r="34" spans="1:18">
      <c r="A34" s="22" t="s">
        <v>48</v>
      </c>
      <c r="B34" s="23" t="s">
        <v>28</v>
      </c>
      <c r="C34" s="108">
        <v>1</v>
      </c>
      <c r="D34" s="105"/>
      <c r="E34" s="23" t="s">
        <v>28</v>
      </c>
      <c r="F34" s="57">
        <v>1</v>
      </c>
      <c r="G34" s="58">
        <v>10352.52</v>
      </c>
      <c r="H34" s="171">
        <f>F34*G34</f>
        <v>10352.52</v>
      </c>
      <c r="I34" s="105"/>
      <c r="J34" s="171" t="str">
        <f>+"#REF!-H33"</f>
        <v>#REF!-H33</v>
      </c>
      <c r="L34" s="5" t="s">
        <v>28</v>
      </c>
      <c r="M34" s="59">
        <v>1</v>
      </c>
      <c r="N34" s="22" t="s">
        <v>48</v>
      </c>
      <c r="O34" s="60"/>
      <c r="P34" s="61"/>
      <c r="Q34" s="61"/>
      <c r="R34" s="62"/>
    </row>
    <row r="35" spans="1:18">
      <c r="A35" s="33" t="s">
        <v>121</v>
      </c>
      <c r="B35" s="23" t="s">
        <v>34</v>
      </c>
      <c r="C35" s="104">
        <v>3</v>
      </c>
      <c r="D35" s="105"/>
      <c r="E35" s="23" t="s">
        <v>34</v>
      </c>
      <c r="F35" s="57">
        <v>0</v>
      </c>
      <c r="G35" s="41">
        <v>3434.43</v>
      </c>
      <c r="H35" s="171">
        <f>F35*G35</f>
        <v>0</v>
      </c>
      <c r="I35" s="105"/>
      <c r="J35" s="171" t="str">
        <f>+"#REF!-H34"</f>
        <v>#REF!-H34</v>
      </c>
      <c r="L35" s="23" t="s">
        <v>34</v>
      </c>
      <c r="M35" s="59">
        <v>3</v>
      </c>
      <c r="N35" s="33" t="s">
        <v>121</v>
      </c>
      <c r="O35" s="449"/>
      <c r="P35" s="449"/>
      <c r="Q35" s="449"/>
      <c r="R35" s="449"/>
    </row>
    <row r="36" spans="1:18">
      <c r="A36" s="69" t="s">
        <v>42</v>
      </c>
      <c r="B36" s="23" t="s">
        <v>24</v>
      </c>
      <c r="C36" s="110">
        <v>3</v>
      </c>
      <c r="D36" s="105"/>
      <c r="E36" s="23" t="s">
        <v>24</v>
      </c>
      <c r="F36" s="57">
        <v>0</v>
      </c>
      <c r="G36" s="41">
        <v>2121.15</v>
      </c>
      <c r="H36" s="171">
        <f>F36*G36</f>
        <v>0</v>
      </c>
      <c r="I36" s="105"/>
      <c r="J36" s="171" t="str">
        <f>+"#REF!-H35"</f>
        <v>#REF!-H35</v>
      </c>
      <c r="L36" s="23" t="s">
        <v>24</v>
      </c>
      <c r="M36" s="59">
        <v>3</v>
      </c>
      <c r="N36" s="69" t="s">
        <v>42</v>
      </c>
      <c r="O36" s="449"/>
      <c r="P36" s="449"/>
      <c r="Q36" s="449"/>
      <c r="R36" s="449"/>
    </row>
    <row r="37" spans="1:18">
      <c r="A37" s="52"/>
      <c r="B37" s="46"/>
      <c r="C37" s="172"/>
      <c r="D37" s="134"/>
      <c r="E37" s="46"/>
      <c r="F37" s="172"/>
      <c r="G37" s="173"/>
      <c r="H37" s="173"/>
      <c r="I37" s="134"/>
      <c r="J37" s="173"/>
      <c r="K37" s="14"/>
      <c r="L37" s="45"/>
      <c r="M37" s="130"/>
      <c r="N37" s="52"/>
      <c r="O37" s="67"/>
      <c r="P37" s="67"/>
      <c r="Q37" s="67"/>
      <c r="R37" s="67"/>
    </row>
    <row r="38" spans="1:18" ht="15" customHeight="1">
      <c r="A38" s="444" t="s">
        <v>122</v>
      </c>
      <c r="B38" s="444"/>
      <c r="C38" s="444"/>
      <c r="D38" s="444"/>
      <c r="E38" s="444"/>
      <c r="F38" s="444"/>
      <c r="G38" s="444"/>
      <c r="H38" s="175"/>
      <c r="I38" s="134"/>
      <c r="J38" s="175"/>
      <c r="K38" s="14"/>
      <c r="L38" s="14"/>
      <c r="M38" s="14"/>
      <c r="N38" s="183"/>
    </row>
    <row r="39" spans="1:18">
      <c r="A39" s="22" t="s">
        <v>123</v>
      </c>
      <c r="B39" s="23" t="s">
        <v>18</v>
      </c>
      <c r="C39" s="104">
        <v>1</v>
      </c>
      <c r="D39" s="105"/>
      <c r="E39" s="23" t="s">
        <v>18</v>
      </c>
      <c r="F39" s="57">
        <v>1</v>
      </c>
      <c r="G39" s="58">
        <v>11686.76</v>
      </c>
      <c r="H39" s="171">
        <f>F39*G39</f>
        <v>11686.76</v>
      </c>
      <c r="I39" s="105"/>
      <c r="J39" s="171" t="str">
        <f>+"#REF!-H38"</f>
        <v>#REF!-H38</v>
      </c>
      <c r="L39" s="28" t="s">
        <v>18</v>
      </c>
      <c r="M39" s="59">
        <v>1</v>
      </c>
      <c r="N39" s="22" t="s">
        <v>123</v>
      </c>
      <c r="O39" s="442"/>
      <c r="P39" s="442"/>
      <c r="Q39" s="442"/>
      <c r="R39" s="442"/>
    </row>
    <row r="40" spans="1:18">
      <c r="A40" s="33" t="s">
        <v>124</v>
      </c>
      <c r="B40" s="23" t="s">
        <v>20</v>
      </c>
      <c r="C40" s="108">
        <v>1</v>
      </c>
      <c r="D40" s="105"/>
      <c r="E40" s="23" t="s">
        <v>20</v>
      </c>
      <c r="F40" s="57">
        <v>1</v>
      </c>
      <c r="G40" s="41">
        <v>7945.86</v>
      </c>
      <c r="H40" s="171">
        <f>F40*G40</f>
        <v>7945.86</v>
      </c>
      <c r="I40" s="105"/>
      <c r="J40" s="171" t="str">
        <f>+"#REF!-H39"</f>
        <v>#REF!-H39</v>
      </c>
      <c r="L40" s="102" t="s">
        <v>20</v>
      </c>
      <c r="M40" s="59">
        <v>1</v>
      </c>
      <c r="N40" s="33" t="s">
        <v>124</v>
      </c>
      <c r="O40" s="442"/>
      <c r="P40" s="442"/>
      <c r="Q40" s="442"/>
      <c r="R40" s="442"/>
    </row>
    <row r="41" spans="1:18">
      <c r="A41" s="33" t="s">
        <v>125</v>
      </c>
      <c r="B41" s="23" t="s">
        <v>34</v>
      </c>
      <c r="C41" s="104">
        <v>2</v>
      </c>
      <c r="D41" s="105"/>
      <c r="E41" s="23" t="s">
        <v>34</v>
      </c>
      <c r="F41" s="57">
        <v>1</v>
      </c>
      <c r="G41" s="41">
        <v>3434.43</v>
      </c>
      <c r="H41" s="171">
        <f>F41*G41</f>
        <v>3434.43</v>
      </c>
      <c r="I41" s="105"/>
      <c r="J41" s="171" t="str">
        <f>+"#REF!-H40"</f>
        <v>#REF!-H40</v>
      </c>
      <c r="L41" s="23" t="s">
        <v>34</v>
      </c>
      <c r="M41" s="59">
        <v>2</v>
      </c>
      <c r="N41" s="33" t="s">
        <v>125</v>
      </c>
      <c r="O41" s="120"/>
      <c r="P41" s="14"/>
      <c r="Q41" s="14"/>
      <c r="R41" s="39"/>
    </row>
    <row r="42" spans="1:18">
      <c r="A42" s="69" t="s">
        <v>42</v>
      </c>
      <c r="B42" s="23" t="s">
        <v>24</v>
      </c>
      <c r="C42" s="34">
        <v>2</v>
      </c>
      <c r="D42" s="105"/>
      <c r="E42" s="87" t="s">
        <v>24</v>
      </c>
      <c r="F42" s="136">
        <v>2</v>
      </c>
      <c r="G42" s="41">
        <v>2121.15</v>
      </c>
      <c r="H42" s="171">
        <f>F42*G42</f>
        <v>4242.3</v>
      </c>
      <c r="I42" s="105"/>
      <c r="J42" s="171" t="str">
        <f>+"#REF!-H41"</f>
        <v>#REF!-H41</v>
      </c>
      <c r="L42" s="23" t="s">
        <v>24</v>
      </c>
      <c r="M42" s="59">
        <v>2</v>
      </c>
      <c r="N42" s="69" t="s">
        <v>42</v>
      </c>
      <c r="O42" s="182"/>
      <c r="P42" s="16"/>
      <c r="Q42" s="16"/>
      <c r="R42" s="44"/>
    </row>
    <row r="43" spans="1:18">
      <c r="A43" s="52"/>
      <c r="B43" s="45"/>
      <c r="C43" s="130"/>
      <c r="D43" s="134"/>
      <c r="E43" s="46"/>
      <c r="F43" s="172"/>
      <c r="G43" s="173"/>
      <c r="H43" s="173"/>
      <c r="I43" s="134"/>
      <c r="J43" s="173"/>
      <c r="K43" s="14"/>
      <c r="L43" s="45"/>
      <c r="M43" s="130"/>
      <c r="N43" s="52"/>
      <c r="O43" s="14"/>
      <c r="P43" s="14"/>
      <c r="Q43" s="14"/>
      <c r="R43" s="14"/>
    </row>
    <row r="44" spans="1:18" ht="15" customHeight="1">
      <c r="A44" s="444" t="s">
        <v>126</v>
      </c>
      <c r="B44" s="444"/>
      <c r="C44" s="444"/>
      <c r="D44" s="444"/>
      <c r="E44" s="444"/>
      <c r="F44" s="444"/>
      <c r="G44" s="444"/>
      <c r="H44" s="175"/>
      <c r="I44" s="134"/>
      <c r="J44" s="175"/>
      <c r="K44" s="14"/>
      <c r="L44" s="14"/>
      <c r="M44" s="14"/>
      <c r="N44" s="183"/>
    </row>
    <row r="45" spans="1:18">
      <c r="A45" s="186" t="s">
        <v>48</v>
      </c>
      <c r="B45" s="23" t="s">
        <v>28</v>
      </c>
      <c r="C45" s="34">
        <v>1</v>
      </c>
      <c r="D45" s="105"/>
      <c r="E45" s="40" t="s">
        <v>28</v>
      </c>
      <c r="F45" s="89">
        <v>1</v>
      </c>
      <c r="G45" s="58">
        <v>10352.52</v>
      </c>
      <c r="H45" s="171">
        <f>F45*G45</f>
        <v>10352.52</v>
      </c>
      <c r="I45" s="105"/>
      <c r="J45" s="171" t="str">
        <f>+"#REF!-H44"</f>
        <v>#REF!-H44</v>
      </c>
      <c r="L45" s="5" t="s">
        <v>28</v>
      </c>
      <c r="M45" s="59">
        <v>1</v>
      </c>
      <c r="N45" s="186" t="s">
        <v>48</v>
      </c>
      <c r="O45" s="60"/>
      <c r="P45" s="61"/>
      <c r="Q45" s="61"/>
      <c r="R45" s="62"/>
    </row>
    <row r="46" spans="1:18">
      <c r="A46" s="187" t="s">
        <v>127</v>
      </c>
      <c r="B46" s="23" t="s">
        <v>34</v>
      </c>
      <c r="C46" s="104">
        <v>1</v>
      </c>
      <c r="D46" s="105"/>
      <c r="E46" s="23" t="s">
        <v>34</v>
      </c>
      <c r="F46" s="57">
        <v>0</v>
      </c>
      <c r="G46" s="41">
        <v>3434.43</v>
      </c>
      <c r="H46" s="171">
        <f>F46*G46</f>
        <v>0</v>
      </c>
      <c r="I46" s="105"/>
      <c r="J46" s="171" t="str">
        <f>+"#REF!-H45"</f>
        <v>#REF!-H45</v>
      </c>
      <c r="L46" s="23" t="s">
        <v>34</v>
      </c>
      <c r="M46" s="59">
        <v>1</v>
      </c>
      <c r="N46" s="187" t="s">
        <v>127</v>
      </c>
      <c r="O46" s="66"/>
      <c r="P46" s="67"/>
      <c r="Q46" s="67"/>
      <c r="R46" s="68"/>
    </row>
    <row r="47" spans="1:18">
      <c r="A47" s="69" t="s">
        <v>42</v>
      </c>
      <c r="B47" s="23" t="s">
        <v>24</v>
      </c>
      <c r="C47" s="104">
        <v>1</v>
      </c>
      <c r="D47" s="105"/>
      <c r="E47" s="23" t="s">
        <v>24</v>
      </c>
      <c r="F47" s="57">
        <v>0</v>
      </c>
      <c r="G47" s="41">
        <v>2121.15</v>
      </c>
      <c r="H47" s="171">
        <f>F47*G47</f>
        <v>0</v>
      </c>
      <c r="I47" s="105"/>
      <c r="J47" s="171" t="str">
        <f>+"#REF!-H46"</f>
        <v>#REF!-H46</v>
      </c>
      <c r="L47" s="23" t="s">
        <v>24</v>
      </c>
      <c r="M47" s="59">
        <v>1</v>
      </c>
      <c r="N47" s="69" t="s">
        <v>42</v>
      </c>
      <c r="O47" s="84"/>
      <c r="P47" s="71"/>
      <c r="Q47" s="71"/>
      <c r="R47" s="72"/>
    </row>
    <row r="48" spans="1:18" hidden="1">
      <c r="A48" s="14"/>
      <c r="B48" s="107" t="s">
        <v>23</v>
      </c>
      <c r="C48" s="24">
        <v>0</v>
      </c>
      <c r="E48" s="23" t="s">
        <v>23</v>
      </c>
      <c r="F48" s="27">
        <v>0</v>
      </c>
      <c r="G48" s="41">
        <v>2984.45</v>
      </c>
      <c r="H48" s="25">
        <f>F48*G48</f>
        <v>0</v>
      </c>
      <c r="J48" s="80" t="str">
        <f>"#REF!-H47"</f>
        <v>#REF!-H47</v>
      </c>
      <c r="L48" s="23" t="s">
        <v>23</v>
      </c>
      <c r="M48" s="64">
        <v>0</v>
      </c>
      <c r="N48" s="49"/>
    </row>
    <row r="49" spans="1:18" hidden="1">
      <c r="A49" s="14"/>
      <c r="B49" s="23" t="s">
        <v>24</v>
      </c>
      <c r="C49" s="104">
        <v>0</v>
      </c>
      <c r="E49" s="23" t="s">
        <v>24</v>
      </c>
      <c r="F49" s="57">
        <v>0</v>
      </c>
      <c r="G49" s="41">
        <v>2121.15</v>
      </c>
      <c r="H49" s="35">
        <f>F49*G49</f>
        <v>0</v>
      </c>
      <c r="J49" s="80" t="str">
        <f>"#REF!-H48"</f>
        <v>#REF!-H48</v>
      </c>
      <c r="L49" s="23" t="s">
        <v>24</v>
      </c>
      <c r="M49" s="118">
        <v>0</v>
      </c>
      <c r="N49" s="49"/>
    </row>
    <row r="50" spans="1:18">
      <c r="A50" s="52"/>
      <c r="B50" s="46"/>
      <c r="C50" s="172"/>
      <c r="D50" s="134"/>
      <c r="E50" s="46"/>
      <c r="F50" s="172"/>
      <c r="G50" s="173"/>
      <c r="H50" s="173"/>
      <c r="I50" s="134"/>
      <c r="J50" s="173"/>
      <c r="K50" s="14"/>
      <c r="L50" s="45"/>
      <c r="M50" s="130"/>
      <c r="N50" s="49"/>
    </row>
    <row r="51" spans="1:18" ht="15" customHeight="1">
      <c r="A51" s="445" t="s">
        <v>128</v>
      </c>
      <c r="B51" s="445"/>
      <c r="C51" s="445"/>
      <c r="D51" s="445"/>
      <c r="E51" s="445"/>
      <c r="F51" s="445"/>
      <c r="G51" s="445"/>
      <c r="H51" s="175"/>
      <c r="I51" s="134"/>
      <c r="J51" s="175"/>
      <c r="K51" s="14"/>
      <c r="L51" s="14"/>
      <c r="M51" s="14"/>
    </row>
    <row r="52" spans="1:18">
      <c r="A52" s="26" t="s">
        <v>39</v>
      </c>
      <c r="B52" s="23" t="s">
        <v>31</v>
      </c>
      <c r="C52" s="104">
        <v>1</v>
      </c>
      <c r="E52" s="23" t="s">
        <v>31</v>
      </c>
      <c r="F52" s="57">
        <v>1</v>
      </c>
      <c r="G52" s="41">
        <v>4726.7</v>
      </c>
      <c r="H52" s="41">
        <f>F52*G52</f>
        <v>4726.7</v>
      </c>
      <c r="J52" s="171" t="str">
        <f>+"#REF!-H51"</f>
        <v>#REF!-H51</v>
      </c>
      <c r="L52" s="23" t="s">
        <v>31</v>
      </c>
      <c r="M52" s="59">
        <v>1</v>
      </c>
      <c r="N52" s="26" t="s">
        <v>39</v>
      </c>
      <c r="O52" s="60"/>
      <c r="P52" s="61"/>
      <c r="Q52" s="61"/>
      <c r="R52" s="62"/>
    </row>
    <row r="53" spans="1:18">
      <c r="A53" s="4" t="s">
        <v>42</v>
      </c>
      <c r="B53" s="23" t="s">
        <v>24</v>
      </c>
      <c r="C53" s="104">
        <v>2</v>
      </c>
      <c r="E53" s="23" t="s">
        <v>24</v>
      </c>
      <c r="F53" s="57">
        <v>0</v>
      </c>
      <c r="G53" s="41">
        <v>2121.65</v>
      </c>
      <c r="H53" s="41">
        <f>F53*G53</f>
        <v>0</v>
      </c>
      <c r="J53" s="171" t="str">
        <f>+"#REF!-H52"</f>
        <v>#REF!-H52</v>
      </c>
      <c r="L53" s="23" t="s">
        <v>24</v>
      </c>
      <c r="M53" s="59">
        <v>2</v>
      </c>
      <c r="N53" s="4" t="s">
        <v>42</v>
      </c>
      <c r="O53" s="66"/>
      <c r="P53" s="67"/>
      <c r="Q53" s="67"/>
      <c r="R53" s="68"/>
    </row>
    <row r="54" spans="1:18">
      <c r="A54" s="109" t="s">
        <v>44</v>
      </c>
      <c r="B54" s="23" t="s">
        <v>45</v>
      </c>
      <c r="C54" s="104">
        <v>4</v>
      </c>
      <c r="E54" s="23" t="s">
        <v>45</v>
      </c>
      <c r="F54" s="57">
        <v>0</v>
      </c>
      <c r="G54" s="41">
        <v>1567.95</v>
      </c>
      <c r="H54" s="41">
        <f>F54*G54</f>
        <v>0</v>
      </c>
      <c r="J54" s="171" t="str">
        <f>+"#REF!-H53"</f>
        <v>#REF!-H53</v>
      </c>
      <c r="L54" s="23" t="s">
        <v>45</v>
      </c>
      <c r="M54" s="188">
        <v>2</v>
      </c>
      <c r="N54" s="109" t="s">
        <v>46</v>
      </c>
      <c r="O54" s="43"/>
      <c r="P54" s="71"/>
      <c r="Q54" s="71"/>
      <c r="R54" s="72"/>
    </row>
    <row r="55" spans="1:18">
      <c r="A55" s="52"/>
      <c r="B55" s="46"/>
      <c r="C55" s="172"/>
      <c r="D55" s="134"/>
      <c r="E55" s="46"/>
      <c r="F55" s="172"/>
      <c r="G55" s="173"/>
      <c r="H55" s="173"/>
      <c r="I55" s="134"/>
      <c r="J55" s="173"/>
      <c r="K55" s="14"/>
      <c r="L55" s="45"/>
      <c r="M55" s="130"/>
      <c r="N55" s="51"/>
    </row>
    <row r="56" spans="1:18" ht="15" customHeight="1">
      <c r="A56" s="445" t="s">
        <v>129</v>
      </c>
      <c r="B56" s="445"/>
      <c r="C56" s="445"/>
      <c r="D56" s="445"/>
      <c r="E56" s="445"/>
      <c r="F56" s="445"/>
      <c r="G56" s="445"/>
      <c r="H56" s="175"/>
      <c r="I56" s="134"/>
      <c r="J56" s="175"/>
      <c r="K56" s="14"/>
      <c r="L56" s="14"/>
      <c r="M56" s="14"/>
    </row>
    <row r="57" spans="1:18">
      <c r="A57" s="26" t="s">
        <v>39</v>
      </c>
      <c r="B57" s="23" t="s">
        <v>31</v>
      </c>
      <c r="C57" s="104">
        <v>1</v>
      </c>
      <c r="E57" s="23" t="s">
        <v>31</v>
      </c>
      <c r="F57" s="113">
        <v>0</v>
      </c>
      <c r="G57" s="41">
        <v>4726.7</v>
      </c>
      <c r="H57" s="41">
        <f>F57*G57</f>
        <v>0</v>
      </c>
      <c r="I57" s="105"/>
      <c r="J57" s="171" t="str">
        <f>+"#REF!-H56"</f>
        <v>#REF!-H56</v>
      </c>
      <c r="L57" s="23" t="s">
        <v>31</v>
      </c>
      <c r="M57" s="59">
        <v>1</v>
      </c>
      <c r="N57" s="26" t="s">
        <v>39</v>
      </c>
      <c r="O57" s="60"/>
      <c r="P57" s="61"/>
      <c r="Q57" s="61"/>
      <c r="R57" s="62"/>
    </row>
    <row r="58" spans="1:18">
      <c r="A58" s="4" t="s">
        <v>42</v>
      </c>
      <c r="B58" s="23" t="s">
        <v>24</v>
      </c>
      <c r="C58" s="104">
        <v>1</v>
      </c>
      <c r="E58" s="23" t="s">
        <v>24</v>
      </c>
      <c r="F58" s="113">
        <v>0</v>
      </c>
      <c r="G58" s="41">
        <v>2121.65</v>
      </c>
      <c r="H58" s="41">
        <f>F58*G58</f>
        <v>0</v>
      </c>
      <c r="I58" s="105"/>
      <c r="J58" s="171" t="str">
        <f>+"#REF!-H57"</f>
        <v>#REF!-H57</v>
      </c>
      <c r="L58" s="23" t="s">
        <v>24</v>
      </c>
      <c r="M58" s="59">
        <v>1</v>
      </c>
      <c r="N58" s="4" t="s">
        <v>42</v>
      </c>
      <c r="O58" s="66"/>
      <c r="P58" s="67"/>
      <c r="Q58" s="67"/>
      <c r="R58" s="68"/>
    </row>
    <row r="59" spans="1:18">
      <c r="A59" s="109" t="s">
        <v>44</v>
      </c>
      <c r="B59" s="87" t="s">
        <v>45</v>
      </c>
      <c r="C59" s="110">
        <v>2</v>
      </c>
      <c r="E59" s="87" t="s">
        <v>45</v>
      </c>
      <c r="F59" s="137">
        <v>0</v>
      </c>
      <c r="G59" s="75">
        <v>1567.95</v>
      </c>
      <c r="H59" s="75">
        <f>F59*G59</f>
        <v>0</v>
      </c>
      <c r="I59" s="105"/>
      <c r="J59" s="171" t="str">
        <f>+"#REF!-H58"</f>
        <v>#REF!-H58</v>
      </c>
      <c r="L59" s="23" t="s">
        <v>45</v>
      </c>
      <c r="M59" s="188">
        <v>1</v>
      </c>
      <c r="N59" s="109" t="s">
        <v>46</v>
      </c>
      <c r="O59" s="43"/>
      <c r="P59" s="71"/>
      <c r="Q59" s="71"/>
      <c r="R59" s="72"/>
    </row>
    <row r="60" spans="1:18">
      <c r="A60" s="52"/>
      <c r="B60" s="46"/>
      <c r="C60" s="172"/>
      <c r="D60" s="134"/>
      <c r="E60" s="46"/>
      <c r="F60" s="172"/>
      <c r="G60" s="173"/>
      <c r="H60" s="173"/>
      <c r="I60" s="134"/>
      <c r="J60" s="173"/>
      <c r="K60" s="14"/>
      <c r="L60" s="45"/>
      <c r="M60" s="130"/>
      <c r="N60" s="14"/>
      <c r="O60" s="67"/>
      <c r="P60" s="67"/>
      <c r="Q60" s="67"/>
      <c r="R60" s="67"/>
    </row>
    <row r="61" spans="1:18" ht="15" customHeight="1">
      <c r="A61" s="448" t="s">
        <v>130</v>
      </c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14"/>
    </row>
    <row r="62" spans="1:18">
      <c r="A62" s="22" t="s">
        <v>48</v>
      </c>
      <c r="B62" s="23" t="s">
        <v>28</v>
      </c>
      <c r="C62" s="104">
        <v>1</v>
      </c>
      <c r="E62" s="88" t="s">
        <v>28</v>
      </c>
      <c r="F62" s="89">
        <v>1</v>
      </c>
      <c r="G62" s="25">
        <v>9106.74</v>
      </c>
      <c r="H62" s="58">
        <v>10352.52</v>
      </c>
      <c r="I62" s="105"/>
      <c r="J62" s="171" t="str">
        <f>+"#REF!-H61"</f>
        <v>#REF!-H61</v>
      </c>
      <c r="L62" s="5" t="s">
        <v>28</v>
      </c>
      <c r="M62" s="59">
        <v>1</v>
      </c>
      <c r="N62" s="22" t="s">
        <v>48</v>
      </c>
      <c r="O62" s="60" t="s">
        <v>131</v>
      </c>
      <c r="P62" s="61"/>
      <c r="Q62" s="61"/>
      <c r="R62" s="62"/>
    </row>
    <row r="63" spans="1:18" ht="14.85" customHeight="1">
      <c r="A63" s="33" t="s">
        <v>35</v>
      </c>
      <c r="B63" s="23" t="s">
        <v>34</v>
      </c>
      <c r="C63" s="104">
        <v>2</v>
      </c>
      <c r="D63" s="105"/>
      <c r="E63" s="23" t="s">
        <v>34</v>
      </c>
      <c r="F63" s="57">
        <v>0</v>
      </c>
      <c r="G63" s="41">
        <v>3434.43</v>
      </c>
      <c r="H63" s="171">
        <f>F63*G63</f>
        <v>0</v>
      </c>
      <c r="I63" s="105"/>
      <c r="J63" s="171" t="str">
        <f>+"#REF!-H62"</f>
        <v>#REF!-H62</v>
      </c>
      <c r="L63" s="23" t="s">
        <v>34</v>
      </c>
      <c r="M63" s="59">
        <v>1</v>
      </c>
      <c r="N63" s="33" t="s">
        <v>35</v>
      </c>
      <c r="O63" s="449" t="s">
        <v>132</v>
      </c>
      <c r="P63" s="449"/>
      <c r="Q63" s="449"/>
      <c r="R63" s="449"/>
    </row>
    <row r="64" spans="1:18">
      <c r="A64" s="33" t="s">
        <v>133</v>
      </c>
      <c r="B64" s="23" t="s">
        <v>23</v>
      </c>
      <c r="C64" s="34">
        <v>22</v>
      </c>
      <c r="E64" s="23" t="s">
        <v>23</v>
      </c>
      <c r="F64" s="113">
        <v>0</v>
      </c>
      <c r="G64" s="41">
        <v>2984.45</v>
      </c>
      <c r="H64" s="25">
        <f>F64*G64</f>
        <v>0</v>
      </c>
      <c r="J64" s="80" t="str">
        <f>"#REF!-H63"</f>
        <v>#REF!-H63</v>
      </c>
      <c r="L64" s="23" t="s">
        <v>23</v>
      </c>
      <c r="M64" s="59">
        <v>28</v>
      </c>
      <c r="N64" s="33" t="s">
        <v>133</v>
      </c>
      <c r="O64" s="449"/>
      <c r="P64" s="449"/>
      <c r="Q64" s="449"/>
      <c r="R64" s="449"/>
    </row>
    <row r="65" spans="1:18">
      <c r="A65" s="42" t="s">
        <v>68</v>
      </c>
      <c r="B65" s="23" t="s">
        <v>24</v>
      </c>
      <c r="C65" s="104">
        <v>1</v>
      </c>
      <c r="D65" s="105"/>
      <c r="E65" s="23" t="s">
        <v>24</v>
      </c>
      <c r="F65" s="57">
        <v>0</v>
      </c>
      <c r="G65" s="41">
        <v>2121.65</v>
      </c>
      <c r="H65" s="171">
        <f>F65*G65</f>
        <v>0</v>
      </c>
      <c r="I65" s="105"/>
      <c r="J65" s="171" t="str">
        <f>+"#REF!-H64"</f>
        <v>#REF!-H64</v>
      </c>
      <c r="L65" s="23" t="s">
        <v>24</v>
      </c>
      <c r="M65" s="59">
        <v>0</v>
      </c>
      <c r="N65" s="42"/>
      <c r="O65" s="43"/>
      <c r="P65" s="71"/>
      <c r="Q65" s="71"/>
      <c r="R65" s="72"/>
    </row>
    <row r="66" spans="1:18" hidden="1">
      <c r="A66" s="129"/>
      <c r="B66" s="87" t="s">
        <v>45</v>
      </c>
      <c r="C66" s="110">
        <v>0</v>
      </c>
      <c r="E66" s="23" t="s">
        <v>45</v>
      </c>
      <c r="F66" s="57">
        <v>0</v>
      </c>
      <c r="G66" s="41">
        <v>1567.95</v>
      </c>
      <c r="H66" s="171">
        <f>F66*G66</f>
        <v>0</v>
      </c>
      <c r="I66" s="105"/>
      <c r="J66" s="171" t="str">
        <f>+"#REF!-H65"</f>
        <v>#REF!-H65</v>
      </c>
      <c r="L66" s="23" t="s">
        <v>45</v>
      </c>
      <c r="M66" s="118">
        <v>0</v>
      </c>
      <c r="N66" s="183"/>
    </row>
    <row r="67" spans="1:18">
      <c r="A67" s="52"/>
      <c r="B67" s="46"/>
      <c r="C67" s="172"/>
      <c r="D67" s="134"/>
      <c r="E67" s="46"/>
      <c r="F67" s="172"/>
      <c r="G67" s="173"/>
      <c r="H67" s="173"/>
      <c r="I67" s="134"/>
      <c r="J67" s="173"/>
      <c r="K67" s="14"/>
      <c r="L67" s="45"/>
      <c r="M67" s="130"/>
      <c r="N67" s="183"/>
    </row>
    <row r="68" spans="1:18" ht="15" customHeight="1">
      <c r="A68" s="444" t="s">
        <v>134</v>
      </c>
      <c r="B68" s="444"/>
      <c r="C68" s="444"/>
      <c r="D68" s="444"/>
      <c r="E68" s="444"/>
      <c r="F68" s="444"/>
      <c r="G68" s="444"/>
      <c r="H68" s="175"/>
      <c r="I68" s="134"/>
      <c r="J68" s="175"/>
      <c r="K68" s="14"/>
      <c r="L68" s="14"/>
      <c r="M68" s="14"/>
      <c r="N68" s="183"/>
    </row>
    <row r="69" spans="1:18">
      <c r="A69" s="22" t="s">
        <v>48</v>
      </c>
      <c r="B69" s="23" t="s">
        <v>28</v>
      </c>
      <c r="C69" s="108">
        <v>1</v>
      </c>
      <c r="D69" s="105"/>
      <c r="E69" s="23" t="s">
        <v>28</v>
      </c>
      <c r="F69" s="89">
        <v>1</v>
      </c>
      <c r="G69" s="41">
        <v>10352.52</v>
      </c>
      <c r="H69" s="171">
        <f>F69*G69</f>
        <v>10352.52</v>
      </c>
      <c r="I69" s="105"/>
      <c r="J69" s="171" t="str">
        <f>+"#REF!-H68"</f>
        <v>#REF!-H68</v>
      </c>
      <c r="L69" s="5" t="s">
        <v>28</v>
      </c>
      <c r="M69" s="29">
        <v>1</v>
      </c>
      <c r="N69" s="22" t="s">
        <v>48</v>
      </c>
      <c r="O69" s="180"/>
      <c r="P69" s="31"/>
      <c r="Q69" s="31"/>
      <c r="R69" s="32"/>
    </row>
    <row r="70" spans="1:18">
      <c r="A70" s="33" t="s">
        <v>135</v>
      </c>
      <c r="B70" s="23" t="s">
        <v>34</v>
      </c>
      <c r="C70" s="110">
        <v>2</v>
      </c>
      <c r="D70" s="105"/>
      <c r="E70" s="23" t="s">
        <v>34</v>
      </c>
      <c r="F70" s="57">
        <v>0</v>
      </c>
      <c r="G70" s="41">
        <v>3434.43</v>
      </c>
      <c r="H70" s="171">
        <f>F70*G70</f>
        <v>0</v>
      </c>
      <c r="I70" s="105"/>
      <c r="J70" s="171" t="str">
        <f>+"#REF!-H69"</f>
        <v>#REF!-H69</v>
      </c>
      <c r="L70" s="23" t="s">
        <v>34</v>
      </c>
      <c r="M70" s="29">
        <v>2</v>
      </c>
      <c r="N70" s="33" t="s">
        <v>135</v>
      </c>
      <c r="O70" s="120"/>
      <c r="P70" s="14"/>
      <c r="Q70" s="14"/>
      <c r="R70" s="39"/>
    </row>
    <row r="71" spans="1:18">
      <c r="A71" s="33" t="s">
        <v>42</v>
      </c>
      <c r="B71" s="23" t="s">
        <v>24</v>
      </c>
      <c r="C71" s="104">
        <v>3</v>
      </c>
      <c r="D71" s="105"/>
      <c r="E71" s="23" t="s">
        <v>24</v>
      </c>
      <c r="F71" s="57">
        <v>4</v>
      </c>
      <c r="G71" s="41">
        <v>2121.65</v>
      </c>
      <c r="H71" s="171">
        <f>F71*G71</f>
        <v>8486.6</v>
      </c>
      <c r="I71" s="105"/>
      <c r="J71" s="171" t="str">
        <f>+"#REF!-H70"</f>
        <v>#REF!-H70</v>
      </c>
      <c r="L71" s="23" t="s">
        <v>24</v>
      </c>
      <c r="M71" s="29">
        <v>3</v>
      </c>
      <c r="N71" s="33" t="s">
        <v>42</v>
      </c>
      <c r="O71" s="120"/>
      <c r="P71" s="14"/>
      <c r="Q71" s="14"/>
      <c r="R71" s="39"/>
    </row>
    <row r="72" spans="1:18" hidden="1">
      <c r="A72" s="177"/>
      <c r="B72" s="23" t="s">
        <v>22</v>
      </c>
      <c r="C72" s="104">
        <v>0</v>
      </c>
      <c r="D72" s="105"/>
      <c r="E72" s="23" t="s">
        <v>22</v>
      </c>
      <c r="F72" s="57">
        <v>0</v>
      </c>
      <c r="G72" s="41">
        <v>1823.15</v>
      </c>
      <c r="H72" s="171">
        <f>F72*G72</f>
        <v>0</v>
      </c>
      <c r="I72" s="105"/>
      <c r="J72" s="171" t="str">
        <f>+"#REF!-H71"</f>
        <v>#REF!-H71</v>
      </c>
      <c r="L72" s="23" t="s">
        <v>22</v>
      </c>
      <c r="M72" s="29">
        <v>0</v>
      </c>
      <c r="N72" s="177"/>
      <c r="O72" s="120"/>
      <c r="P72" s="14"/>
      <c r="Q72" s="14"/>
      <c r="R72" s="39"/>
    </row>
    <row r="73" spans="1:18">
      <c r="A73" s="42" t="s">
        <v>44</v>
      </c>
      <c r="B73" s="23" t="s">
        <v>45</v>
      </c>
      <c r="C73" s="104">
        <v>4</v>
      </c>
      <c r="D73" s="105"/>
      <c r="E73" s="23" t="s">
        <v>45</v>
      </c>
      <c r="F73" s="57">
        <v>0</v>
      </c>
      <c r="G73" s="75">
        <v>1567.95</v>
      </c>
      <c r="H73" s="171">
        <f>F73*G73</f>
        <v>0</v>
      </c>
      <c r="I73" s="105"/>
      <c r="J73" s="171" t="str">
        <f>+"#REF!-H72"</f>
        <v>#REF!-H72</v>
      </c>
      <c r="L73" s="23" t="s">
        <v>45</v>
      </c>
      <c r="M73" s="106">
        <v>2</v>
      </c>
      <c r="N73" s="42" t="s">
        <v>46</v>
      </c>
      <c r="O73" s="182"/>
      <c r="P73" s="16"/>
      <c r="Q73" s="16"/>
      <c r="R73" s="44"/>
    </row>
    <row r="74" spans="1:18">
      <c r="A74" s="52"/>
      <c r="B74" s="46"/>
      <c r="C74" s="172"/>
      <c r="D74" s="134"/>
      <c r="E74" s="46"/>
      <c r="F74" s="172"/>
      <c r="G74" s="173"/>
      <c r="H74" s="173"/>
      <c r="I74" s="134"/>
      <c r="J74" s="173"/>
      <c r="K74" s="14"/>
      <c r="L74" s="45"/>
      <c r="M74" s="130"/>
      <c r="N74" s="52"/>
      <c r="O74" s="14"/>
      <c r="P74" s="14"/>
      <c r="Q74" s="14"/>
      <c r="R74" s="14"/>
    </row>
    <row r="75" spans="1:18" ht="15" customHeight="1">
      <c r="A75" s="444" t="s">
        <v>136</v>
      </c>
      <c r="B75" s="444"/>
      <c r="C75" s="444"/>
      <c r="D75" s="444"/>
      <c r="E75" s="444"/>
      <c r="F75" s="444"/>
      <c r="G75" s="444"/>
      <c r="H75" s="175"/>
      <c r="I75" s="134"/>
      <c r="J75" s="175"/>
      <c r="K75" s="14"/>
      <c r="L75" s="14"/>
      <c r="M75" s="14"/>
      <c r="N75" s="183"/>
    </row>
    <row r="76" spans="1:18">
      <c r="A76" s="22" t="s">
        <v>48</v>
      </c>
      <c r="B76" s="23" t="s">
        <v>28</v>
      </c>
      <c r="C76" s="108">
        <v>1</v>
      </c>
      <c r="D76" s="105"/>
      <c r="E76" s="23" t="s">
        <v>28</v>
      </c>
      <c r="F76" s="89">
        <v>1</v>
      </c>
      <c r="G76" s="41">
        <v>10352.52</v>
      </c>
      <c r="H76" s="171">
        <f>F76*G76</f>
        <v>10352.52</v>
      </c>
      <c r="I76" s="105"/>
      <c r="J76" s="171" t="str">
        <f>+"#REF!-H75"</f>
        <v>#REF!-H75</v>
      </c>
      <c r="L76" s="5" t="s">
        <v>28</v>
      </c>
      <c r="M76" s="29">
        <v>1</v>
      </c>
      <c r="N76" s="22" t="s">
        <v>48</v>
      </c>
      <c r="O76" s="180"/>
      <c r="P76" s="31"/>
      <c r="Q76" s="31"/>
      <c r="R76" s="32"/>
    </row>
    <row r="77" spans="1:18">
      <c r="A77" s="33" t="s">
        <v>135</v>
      </c>
      <c r="B77" s="23" t="s">
        <v>34</v>
      </c>
      <c r="C77" s="110">
        <v>1</v>
      </c>
      <c r="D77" s="105"/>
      <c r="E77" s="23" t="s">
        <v>34</v>
      </c>
      <c r="F77" s="57">
        <v>0</v>
      </c>
      <c r="G77" s="41">
        <v>3434.43</v>
      </c>
      <c r="H77" s="171">
        <f>F77*G77</f>
        <v>0</v>
      </c>
      <c r="I77" s="105"/>
      <c r="J77" s="171" t="str">
        <f>+"#REF!-H76"</f>
        <v>#REF!-H76</v>
      </c>
      <c r="L77" s="23" t="s">
        <v>34</v>
      </c>
      <c r="M77" s="29">
        <v>1</v>
      </c>
      <c r="N77" s="33" t="s">
        <v>135</v>
      </c>
      <c r="O77" s="120"/>
      <c r="P77" s="14"/>
      <c r="Q77" s="14"/>
      <c r="R77" s="39"/>
    </row>
    <row r="78" spans="1:18">
      <c r="A78" s="33" t="s">
        <v>42</v>
      </c>
      <c r="B78" s="23" t="s">
        <v>24</v>
      </c>
      <c r="C78" s="104">
        <v>3</v>
      </c>
      <c r="D78" s="105"/>
      <c r="E78" s="23" t="s">
        <v>24</v>
      </c>
      <c r="F78" s="57">
        <v>5</v>
      </c>
      <c r="G78" s="41">
        <v>2121.65</v>
      </c>
      <c r="H78" s="171">
        <f>F78*G78</f>
        <v>10608.25</v>
      </c>
      <c r="I78" s="105"/>
      <c r="J78" s="171" t="str">
        <f>+"#REF!-H77"</f>
        <v>#REF!-H77</v>
      </c>
      <c r="L78" s="23" t="s">
        <v>24</v>
      </c>
      <c r="M78" s="29">
        <v>3</v>
      </c>
      <c r="N78" s="33" t="s">
        <v>42</v>
      </c>
      <c r="O78" s="120"/>
      <c r="P78" s="14"/>
      <c r="Q78" s="14"/>
      <c r="R78" s="39"/>
    </row>
    <row r="79" spans="1:18" hidden="1">
      <c r="A79" s="177"/>
      <c r="B79" s="23" t="s">
        <v>22</v>
      </c>
      <c r="C79" s="104">
        <v>0</v>
      </c>
      <c r="D79" s="105"/>
      <c r="E79" s="23" t="s">
        <v>22</v>
      </c>
      <c r="F79" s="57">
        <v>0</v>
      </c>
      <c r="G79" s="41">
        <v>1823.15</v>
      </c>
      <c r="H79" s="171">
        <f>F79*G79</f>
        <v>0</v>
      </c>
      <c r="I79" s="105"/>
      <c r="J79" s="171" t="str">
        <f>+"#REF!-H78"</f>
        <v>#REF!-H78</v>
      </c>
      <c r="L79" s="23" t="s">
        <v>22</v>
      </c>
      <c r="M79" s="29">
        <v>0</v>
      </c>
      <c r="N79" s="177"/>
      <c r="O79" s="120"/>
      <c r="P79" s="14"/>
      <c r="Q79" s="14"/>
      <c r="R79" s="39"/>
    </row>
    <row r="80" spans="1:18">
      <c r="A80" s="42" t="s">
        <v>44</v>
      </c>
      <c r="B80" s="23" t="s">
        <v>45</v>
      </c>
      <c r="C80" s="104">
        <v>5</v>
      </c>
      <c r="D80" s="105"/>
      <c r="E80" s="23" t="s">
        <v>45</v>
      </c>
      <c r="F80" s="57">
        <v>0</v>
      </c>
      <c r="G80" s="75">
        <v>1567.95</v>
      </c>
      <c r="H80" s="171">
        <f>F80*G80</f>
        <v>0</v>
      </c>
      <c r="I80" s="105"/>
      <c r="J80" s="171" t="str">
        <f>+"#REF!-H79"</f>
        <v>#REF!-H79</v>
      </c>
      <c r="L80" s="23" t="s">
        <v>45</v>
      </c>
      <c r="M80" s="106">
        <v>2</v>
      </c>
      <c r="N80" s="42" t="s">
        <v>46</v>
      </c>
      <c r="O80" s="182"/>
      <c r="P80" s="16"/>
      <c r="Q80" s="16"/>
      <c r="R80" s="44"/>
    </row>
    <row r="81" spans="1:18">
      <c r="A81" s="52"/>
      <c r="B81" s="46"/>
      <c r="C81" s="172"/>
      <c r="D81" s="134"/>
      <c r="E81" s="46"/>
      <c r="F81" s="172"/>
      <c r="G81" s="173"/>
      <c r="H81" s="173"/>
      <c r="I81" s="134"/>
      <c r="J81" s="173"/>
      <c r="K81" s="14"/>
      <c r="L81" s="45"/>
      <c r="M81" s="130"/>
      <c r="N81" s="52"/>
      <c r="O81" s="14"/>
      <c r="P81" s="14"/>
      <c r="Q81" s="14"/>
      <c r="R81" s="14"/>
    </row>
    <row r="82" spans="1:18" ht="15" customHeight="1">
      <c r="A82" s="444" t="s">
        <v>137</v>
      </c>
      <c r="B82" s="444"/>
      <c r="C82" s="444"/>
      <c r="D82" s="444"/>
      <c r="E82" s="444"/>
      <c r="F82" s="444"/>
      <c r="G82" s="444"/>
      <c r="H82" s="175"/>
      <c r="I82" s="134"/>
      <c r="J82" s="175"/>
      <c r="K82" s="14"/>
      <c r="L82" s="14"/>
      <c r="M82" s="14"/>
      <c r="N82" s="183"/>
    </row>
    <row r="83" spans="1:18">
      <c r="A83" s="22" t="s">
        <v>48</v>
      </c>
      <c r="B83" s="23" t="s">
        <v>28</v>
      </c>
      <c r="C83" s="108">
        <v>1</v>
      </c>
      <c r="D83" s="105"/>
      <c r="E83" s="23" t="s">
        <v>28</v>
      </c>
      <c r="F83" s="89">
        <v>1</v>
      </c>
      <c r="G83" s="41">
        <v>10352.52</v>
      </c>
      <c r="H83" s="171">
        <f>F83*G83</f>
        <v>10352.52</v>
      </c>
      <c r="I83" s="105"/>
      <c r="J83" s="171" t="str">
        <f>+"#REF!-H82"</f>
        <v>#REF!-H82</v>
      </c>
      <c r="L83" s="5" t="s">
        <v>28</v>
      </c>
      <c r="M83" s="29">
        <v>1</v>
      </c>
      <c r="N83" s="22" t="s">
        <v>48</v>
      </c>
      <c r="O83" s="180"/>
      <c r="P83" s="31"/>
      <c r="Q83" s="31"/>
      <c r="R83" s="32"/>
    </row>
    <row r="84" spans="1:18">
      <c r="A84" s="33" t="s">
        <v>135</v>
      </c>
      <c r="B84" s="23" t="s">
        <v>34</v>
      </c>
      <c r="C84" s="110">
        <v>1</v>
      </c>
      <c r="D84" s="105"/>
      <c r="E84" s="23" t="s">
        <v>34</v>
      </c>
      <c r="F84" s="57">
        <v>0</v>
      </c>
      <c r="G84" s="41">
        <v>3434.43</v>
      </c>
      <c r="H84" s="171">
        <f>F84*G84</f>
        <v>0</v>
      </c>
      <c r="I84" s="105"/>
      <c r="J84" s="171" t="str">
        <f>+"#REF!-H83"</f>
        <v>#REF!-H83</v>
      </c>
      <c r="L84" s="23" t="s">
        <v>34</v>
      </c>
      <c r="M84" s="29">
        <v>1</v>
      </c>
      <c r="N84" s="33" t="s">
        <v>135</v>
      </c>
      <c r="O84" s="120"/>
      <c r="P84" s="14"/>
      <c r="Q84" s="14"/>
      <c r="R84" s="39"/>
    </row>
    <row r="85" spans="1:18">
      <c r="A85" s="33" t="s">
        <v>42</v>
      </c>
      <c r="B85" s="23" t="s">
        <v>24</v>
      </c>
      <c r="C85" s="104">
        <v>3</v>
      </c>
      <c r="D85" s="105"/>
      <c r="E85" s="23" t="s">
        <v>24</v>
      </c>
      <c r="F85" s="57">
        <v>5</v>
      </c>
      <c r="G85" s="41">
        <v>2121.65</v>
      </c>
      <c r="H85" s="171">
        <f>F85*G85</f>
        <v>10608.25</v>
      </c>
      <c r="I85" s="105"/>
      <c r="J85" s="171" t="str">
        <f>+"#REF!-H84"</f>
        <v>#REF!-H84</v>
      </c>
      <c r="L85" s="23" t="s">
        <v>24</v>
      </c>
      <c r="M85" s="29">
        <v>3</v>
      </c>
      <c r="N85" s="33" t="s">
        <v>42</v>
      </c>
      <c r="O85" s="120"/>
      <c r="P85" s="14"/>
      <c r="Q85" s="14"/>
      <c r="R85" s="39"/>
    </row>
    <row r="86" spans="1:18" hidden="1">
      <c r="A86" s="177"/>
      <c r="B86" s="23" t="s">
        <v>22</v>
      </c>
      <c r="C86" s="104">
        <v>0</v>
      </c>
      <c r="D86" s="105"/>
      <c r="E86" s="23" t="s">
        <v>22</v>
      </c>
      <c r="F86" s="57">
        <v>0</v>
      </c>
      <c r="G86" s="41">
        <v>1823.15</v>
      </c>
      <c r="H86" s="171">
        <f>F86*G86</f>
        <v>0</v>
      </c>
      <c r="I86" s="105"/>
      <c r="J86" s="171" t="str">
        <f>+"#REF!-H85"</f>
        <v>#REF!-H85</v>
      </c>
      <c r="L86" s="23" t="s">
        <v>22</v>
      </c>
      <c r="M86" s="29">
        <v>0</v>
      </c>
      <c r="N86" s="177"/>
      <c r="O86" s="120"/>
      <c r="P86" s="14"/>
      <c r="Q86" s="14"/>
      <c r="R86" s="39"/>
    </row>
    <row r="87" spans="1:18">
      <c r="A87" s="42" t="s">
        <v>44</v>
      </c>
      <c r="B87" s="23" t="s">
        <v>45</v>
      </c>
      <c r="C87" s="104">
        <v>5</v>
      </c>
      <c r="D87" s="105"/>
      <c r="E87" s="23" t="s">
        <v>45</v>
      </c>
      <c r="F87" s="57">
        <v>0</v>
      </c>
      <c r="G87" s="75">
        <v>1567.95</v>
      </c>
      <c r="H87" s="171">
        <f>F87*G87</f>
        <v>0</v>
      </c>
      <c r="I87" s="105"/>
      <c r="J87" s="171" t="str">
        <f>+"#REF!-H86"</f>
        <v>#REF!-H86</v>
      </c>
      <c r="L87" s="23" t="s">
        <v>45</v>
      </c>
      <c r="M87" s="106">
        <v>2</v>
      </c>
      <c r="N87" s="42" t="s">
        <v>46</v>
      </c>
      <c r="O87" s="182"/>
      <c r="P87" s="16"/>
      <c r="Q87" s="16"/>
      <c r="R87" s="44"/>
    </row>
    <row r="88" spans="1:18">
      <c r="A88" s="52"/>
      <c r="B88" s="46"/>
      <c r="C88" s="172"/>
      <c r="D88" s="134"/>
      <c r="E88" s="46"/>
      <c r="F88" s="172"/>
      <c r="G88" s="173"/>
      <c r="H88" s="173"/>
      <c r="I88" s="134"/>
      <c r="J88" s="173"/>
      <c r="K88" s="14"/>
      <c r="L88" s="45"/>
      <c r="M88" s="130"/>
      <c r="N88" s="52"/>
      <c r="O88" s="14"/>
      <c r="P88" s="14"/>
      <c r="Q88" s="14"/>
      <c r="R88" s="14"/>
    </row>
    <row r="89" spans="1:18" ht="15" customHeight="1">
      <c r="A89" s="444" t="s">
        <v>138</v>
      </c>
      <c r="B89" s="444"/>
      <c r="C89" s="444"/>
      <c r="D89" s="444"/>
      <c r="E89" s="444"/>
      <c r="F89" s="444"/>
      <c r="G89" s="444"/>
      <c r="H89" s="175"/>
      <c r="I89" s="134"/>
      <c r="J89" s="175"/>
      <c r="K89" s="14"/>
      <c r="L89" s="14"/>
      <c r="M89" s="14"/>
      <c r="N89" s="183"/>
    </row>
    <row r="90" spans="1:18">
      <c r="A90" s="22" t="s">
        <v>48</v>
      </c>
      <c r="B90" s="23" t="s">
        <v>28</v>
      </c>
      <c r="C90" s="108">
        <v>1</v>
      </c>
      <c r="D90" s="105"/>
      <c r="E90" s="23" t="s">
        <v>28</v>
      </c>
      <c r="F90" s="89">
        <v>1</v>
      </c>
      <c r="G90" s="41">
        <v>10352.52</v>
      </c>
      <c r="H90" s="171">
        <f>F90*G90</f>
        <v>10352.52</v>
      </c>
      <c r="I90" s="105"/>
      <c r="J90" s="171" t="str">
        <f>+"#REF!-H89"</f>
        <v>#REF!-H89</v>
      </c>
      <c r="L90" s="5" t="s">
        <v>28</v>
      </c>
      <c r="M90" s="29">
        <v>1</v>
      </c>
      <c r="N90" s="22" t="s">
        <v>48</v>
      </c>
      <c r="O90" s="180"/>
      <c r="P90" s="31"/>
      <c r="Q90" s="31"/>
      <c r="R90" s="32"/>
    </row>
    <row r="91" spans="1:18">
      <c r="A91" s="33" t="s">
        <v>135</v>
      </c>
      <c r="B91" s="23" t="s">
        <v>34</v>
      </c>
      <c r="C91" s="110">
        <v>1</v>
      </c>
      <c r="D91" s="105"/>
      <c r="E91" s="23" t="s">
        <v>34</v>
      </c>
      <c r="F91" s="57">
        <v>0</v>
      </c>
      <c r="G91" s="41">
        <v>3434.43</v>
      </c>
      <c r="H91" s="171">
        <f>F91*G91</f>
        <v>0</v>
      </c>
      <c r="I91" s="105"/>
      <c r="J91" s="171" t="str">
        <f>+"#REF!-H90"</f>
        <v>#REF!-H90</v>
      </c>
      <c r="L91" s="23" t="s">
        <v>34</v>
      </c>
      <c r="M91" s="29">
        <v>1</v>
      </c>
      <c r="N91" s="33" t="s">
        <v>135</v>
      </c>
      <c r="O91" s="120"/>
      <c r="P91" s="14"/>
      <c r="Q91" s="14"/>
      <c r="R91" s="39"/>
    </row>
    <row r="92" spans="1:18">
      <c r="A92" s="33" t="s">
        <v>42</v>
      </c>
      <c r="B92" s="23" t="s">
        <v>24</v>
      </c>
      <c r="C92" s="104">
        <v>3</v>
      </c>
      <c r="E92" s="23" t="s">
        <v>23</v>
      </c>
      <c r="F92" s="57">
        <v>0</v>
      </c>
      <c r="G92" s="41">
        <v>2984.45</v>
      </c>
      <c r="H92" s="25">
        <f>F92*G92</f>
        <v>0</v>
      </c>
      <c r="J92" s="80" t="str">
        <f>"#REF!-H91"</f>
        <v>#REF!-H91</v>
      </c>
      <c r="L92" s="23" t="s">
        <v>24</v>
      </c>
      <c r="M92" s="29">
        <v>3</v>
      </c>
      <c r="N92" s="33" t="s">
        <v>42</v>
      </c>
      <c r="O92" s="120"/>
      <c r="P92" s="14"/>
      <c r="Q92" s="14"/>
      <c r="R92" s="39"/>
    </row>
    <row r="93" spans="1:18" hidden="1">
      <c r="A93" s="177"/>
      <c r="B93" s="23" t="s">
        <v>22</v>
      </c>
      <c r="C93" s="104">
        <v>0</v>
      </c>
      <c r="D93" s="105"/>
      <c r="E93" s="23" t="s">
        <v>22</v>
      </c>
      <c r="F93" s="57">
        <v>0</v>
      </c>
      <c r="G93" s="41">
        <v>1823.15</v>
      </c>
      <c r="H93" s="171">
        <f>F93*G93</f>
        <v>0</v>
      </c>
      <c r="I93" s="105"/>
      <c r="J93" s="171" t="str">
        <f>+"#REF!-H92"</f>
        <v>#REF!-H92</v>
      </c>
      <c r="L93" s="23" t="s">
        <v>22</v>
      </c>
      <c r="M93" s="29">
        <v>0</v>
      </c>
      <c r="N93" s="177"/>
      <c r="O93" s="120"/>
      <c r="P93" s="14"/>
      <c r="Q93" s="14"/>
      <c r="R93" s="39"/>
    </row>
    <row r="94" spans="1:18">
      <c r="A94" s="42" t="s">
        <v>44</v>
      </c>
      <c r="B94" s="23" t="s">
        <v>45</v>
      </c>
      <c r="C94" s="104">
        <v>5</v>
      </c>
      <c r="D94" s="105"/>
      <c r="E94" s="23" t="s">
        <v>45</v>
      </c>
      <c r="F94" s="57">
        <v>0</v>
      </c>
      <c r="G94" s="75">
        <v>1567.95</v>
      </c>
      <c r="H94" s="171">
        <f>F94*G94</f>
        <v>0</v>
      </c>
      <c r="I94" s="105"/>
      <c r="J94" s="171" t="str">
        <f>+"#REF!-H93"</f>
        <v>#REF!-H93</v>
      </c>
      <c r="L94" s="23" t="s">
        <v>45</v>
      </c>
      <c r="M94" s="106">
        <v>2</v>
      </c>
      <c r="N94" s="42" t="s">
        <v>46</v>
      </c>
      <c r="O94" s="182"/>
      <c r="P94" s="16"/>
      <c r="Q94" s="16"/>
      <c r="R94" s="44"/>
    </row>
    <row r="95" spans="1:18">
      <c r="A95" s="52"/>
      <c r="B95" s="46"/>
      <c r="C95" s="172"/>
      <c r="D95" s="134"/>
      <c r="E95" s="46"/>
      <c r="F95" s="172"/>
      <c r="G95" s="173"/>
      <c r="H95" s="173"/>
      <c r="I95" s="134"/>
      <c r="J95" s="173"/>
      <c r="K95" s="14"/>
      <c r="L95" s="45"/>
      <c r="M95" s="130"/>
      <c r="N95" s="52"/>
      <c r="O95" s="14"/>
      <c r="P95" s="14"/>
      <c r="Q95" s="14"/>
      <c r="R95" s="14"/>
    </row>
    <row r="96" spans="1:18" ht="15" customHeight="1">
      <c r="A96" s="445" t="s">
        <v>139</v>
      </c>
      <c r="B96" s="445"/>
      <c r="C96" s="445"/>
      <c r="D96" s="445"/>
      <c r="E96" s="445"/>
      <c r="F96" s="445"/>
      <c r="G96" s="445"/>
      <c r="H96" s="175"/>
      <c r="I96" s="134"/>
      <c r="J96" s="175"/>
      <c r="K96" s="14"/>
      <c r="L96" s="14"/>
      <c r="M96" s="14"/>
    </row>
    <row r="97" spans="1:18">
      <c r="A97" s="22" t="s">
        <v>26</v>
      </c>
      <c r="B97" s="40" t="s">
        <v>27</v>
      </c>
      <c r="C97" s="108">
        <v>1</v>
      </c>
      <c r="D97" s="105"/>
      <c r="E97" s="88" t="s">
        <v>28</v>
      </c>
      <c r="F97" s="89">
        <v>1</v>
      </c>
      <c r="G97" s="58">
        <v>10352.52</v>
      </c>
      <c r="H97" s="171">
        <f>F97*G97</f>
        <v>10352.52</v>
      </c>
      <c r="I97" s="105"/>
      <c r="J97" s="171" t="str">
        <f>+"#REF!-H96"</f>
        <v>#REF!-H96</v>
      </c>
      <c r="L97" s="56" t="s">
        <v>27</v>
      </c>
      <c r="M97" s="29">
        <v>1</v>
      </c>
      <c r="N97" s="22" t="s">
        <v>26</v>
      </c>
      <c r="O97" s="180"/>
      <c r="P97" s="31"/>
      <c r="Q97" s="31"/>
      <c r="R97" s="32"/>
    </row>
    <row r="98" spans="1:18" ht="12.75" hidden="1" customHeight="1">
      <c r="A98" s="177"/>
      <c r="B98" s="107" t="s">
        <v>31</v>
      </c>
      <c r="C98" s="104">
        <v>0</v>
      </c>
      <c r="E98" s="23" t="s">
        <v>31</v>
      </c>
      <c r="F98" s="57">
        <v>4</v>
      </c>
      <c r="G98" s="41">
        <v>4726.7</v>
      </c>
      <c r="H98" s="35">
        <f>F98*G98</f>
        <v>18906.8</v>
      </c>
      <c r="J98" s="80" t="str">
        <f>"#REF!-H97"</f>
        <v>#REF!-H97</v>
      </c>
      <c r="L98" s="23" t="s">
        <v>31</v>
      </c>
      <c r="M98" s="29">
        <v>0</v>
      </c>
      <c r="N98" s="177"/>
      <c r="O98" s="120"/>
      <c r="P98" s="14"/>
      <c r="Q98" s="14"/>
      <c r="R98" s="39"/>
    </row>
    <row r="99" spans="1:18">
      <c r="A99" s="33" t="s">
        <v>140</v>
      </c>
      <c r="B99" s="23" t="s">
        <v>34</v>
      </c>
      <c r="C99" s="104">
        <v>1</v>
      </c>
      <c r="D99" s="105"/>
      <c r="E99" s="23" t="s">
        <v>34</v>
      </c>
      <c r="F99" s="57">
        <v>0</v>
      </c>
      <c r="G99" s="41">
        <v>3434.43</v>
      </c>
      <c r="H99" s="171">
        <f>F99*G99</f>
        <v>0</v>
      </c>
      <c r="I99" s="105"/>
      <c r="J99" s="171" t="str">
        <f>+"#REF!-H98"</f>
        <v>#REF!-H98</v>
      </c>
      <c r="L99" s="23" t="s">
        <v>34</v>
      </c>
      <c r="M99" s="29">
        <v>1</v>
      </c>
      <c r="N99" s="33" t="s">
        <v>140</v>
      </c>
      <c r="O99" s="120"/>
      <c r="P99" s="14"/>
      <c r="Q99" s="14"/>
      <c r="R99" s="39"/>
    </row>
    <row r="100" spans="1:18">
      <c r="A100" s="33" t="s">
        <v>68</v>
      </c>
      <c r="B100" s="23" t="s">
        <v>24</v>
      </c>
      <c r="C100" s="104">
        <v>2</v>
      </c>
      <c r="D100" s="105"/>
      <c r="E100" s="23" t="s">
        <v>24</v>
      </c>
      <c r="F100" s="57">
        <v>0</v>
      </c>
      <c r="G100" s="41">
        <v>2121.65</v>
      </c>
      <c r="H100" s="171">
        <f>F100*G100</f>
        <v>0</v>
      </c>
      <c r="I100" s="105"/>
      <c r="J100" s="171" t="str">
        <f>+"#REF!-H99"</f>
        <v>#REF!-H99</v>
      </c>
      <c r="L100" s="23" t="s">
        <v>24</v>
      </c>
      <c r="M100" s="29">
        <v>2</v>
      </c>
      <c r="N100" s="33" t="s">
        <v>68</v>
      </c>
      <c r="O100" s="120"/>
      <c r="P100" s="14"/>
      <c r="Q100" s="14"/>
      <c r="R100" s="39"/>
    </row>
    <row r="101" spans="1:18">
      <c r="A101" s="42" t="s">
        <v>44</v>
      </c>
      <c r="B101" s="23" t="s">
        <v>45</v>
      </c>
      <c r="C101" s="104">
        <v>3</v>
      </c>
      <c r="E101" s="23" t="s">
        <v>45</v>
      </c>
      <c r="F101" s="57">
        <v>0</v>
      </c>
      <c r="G101" s="41">
        <v>1567.95</v>
      </c>
      <c r="H101" s="171">
        <f>F101*G101</f>
        <v>0</v>
      </c>
      <c r="I101" s="105"/>
      <c r="J101" s="171" t="str">
        <f>+"#REF!-H100"</f>
        <v>#REF!-H100</v>
      </c>
      <c r="L101" s="23" t="s">
        <v>45</v>
      </c>
      <c r="M101" s="106">
        <v>0</v>
      </c>
      <c r="N101" s="42" t="s">
        <v>46</v>
      </c>
      <c r="O101" s="182"/>
      <c r="P101" s="16"/>
      <c r="Q101" s="16"/>
      <c r="R101" s="44"/>
    </row>
    <row r="102" spans="1:18">
      <c r="A102" s="52"/>
      <c r="B102" s="46"/>
      <c r="C102" s="172"/>
      <c r="D102" s="134"/>
      <c r="E102" s="46"/>
      <c r="F102" s="172"/>
      <c r="G102" s="173"/>
      <c r="H102" s="173"/>
      <c r="I102" s="134"/>
      <c r="J102" s="173"/>
      <c r="K102" s="14"/>
      <c r="L102" s="45"/>
      <c r="M102" s="130"/>
      <c r="N102" s="183"/>
    </row>
    <row r="103" spans="1:18" ht="12.75" hidden="1" customHeight="1">
      <c r="A103" s="446" t="s">
        <v>141</v>
      </c>
      <c r="B103" s="446"/>
      <c r="C103" s="446"/>
    </row>
    <row r="104" spans="1:18" hidden="1">
      <c r="A104" s="26"/>
      <c r="B104" s="23" t="s">
        <v>31</v>
      </c>
      <c r="C104" s="104">
        <v>0</v>
      </c>
      <c r="D104" s="26"/>
      <c r="E104" s="23" t="s">
        <v>31</v>
      </c>
      <c r="F104" s="57">
        <v>1</v>
      </c>
      <c r="G104" s="41">
        <v>4726.7</v>
      </c>
      <c r="H104" s="35">
        <f>F104*G104</f>
        <v>4726.7</v>
      </c>
      <c r="J104" s="80" t="str">
        <f>+"#REF!-H103"</f>
        <v>#REF!-H103</v>
      </c>
      <c r="L104" s="23" t="s">
        <v>31</v>
      </c>
      <c r="M104" s="59">
        <v>0</v>
      </c>
      <c r="N104" s="186" t="s">
        <v>39</v>
      </c>
      <c r="O104" s="60"/>
      <c r="P104" s="61"/>
      <c r="Q104" s="61"/>
      <c r="R104" s="62"/>
    </row>
    <row r="105" spans="1:18" hidden="1">
      <c r="A105" s="109"/>
      <c r="B105" s="23" t="s">
        <v>22</v>
      </c>
      <c r="C105" s="104">
        <v>0</v>
      </c>
      <c r="D105" s="105"/>
      <c r="E105" s="23"/>
      <c r="F105" s="57"/>
      <c r="G105" s="171"/>
      <c r="H105" s="171"/>
      <c r="I105" s="105"/>
      <c r="J105" s="171"/>
      <c r="L105" s="23" t="s">
        <v>22</v>
      </c>
      <c r="M105" s="29">
        <v>0</v>
      </c>
      <c r="N105" s="189" t="s">
        <v>44</v>
      </c>
      <c r="O105" s="43"/>
      <c r="P105" s="71"/>
      <c r="Q105" s="71"/>
      <c r="R105" s="72"/>
    </row>
    <row r="106" spans="1:18" ht="12.75" hidden="1" customHeight="1">
      <c r="A106" s="447" t="s">
        <v>142</v>
      </c>
      <c r="B106" s="447"/>
      <c r="C106" s="447"/>
      <c r="E106" s="23"/>
      <c r="F106" s="34"/>
      <c r="G106" s="80"/>
      <c r="H106" s="80"/>
      <c r="J106" s="80"/>
      <c r="L106" s="23"/>
      <c r="M106" s="34"/>
      <c r="N106" s="190"/>
    </row>
    <row r="107" spans="1:18" hidden="1">
      <c r="A107" s="117"/>
      <c r="B107" s="107" t="s">
        <v>31</v>
      </c>
      <c r="C107" s="108">
        <v>0</v>
      </c>
      <c r="E107" s="23" t="s">
        <v>31</v>
      </c>
      <c r="F107" s="57">
        <v>1</v>
      </c>
      <c r="G107" s="41">
        <v>4726.7</v>
      </c>
      <c r="H107" s="35">
        <f>F107*G107</f>
        <v>4726.7</v>
      </c>
      <c r="J107" s="80" t="str">
        <f>"#REF!-H106"</f>
        <v>#REF!-H106</v>
      </c>
      <c r="L107" s="23" t="s">
        <v>31</v>
      </c>
      <c r="M107" s="118">
        <v>0</v>
      </c>
      <c r="N107" s="49"/>
    </row>
    <row r="108" spans="1:18" hidden="1">
      <c r="A108" s="45"/>
      <c r="B108" s="23" t="s">
        <v>34</v>
      </c>
      <c r="C108" s="24">
        <v>0</v>
      </c>
      <c r="E108" s="23" t="s">
        <v>34</v>
      </c>
      <c r="F108" s="27">
        <v>0</v>
      </c>
      <c r="G108" s="41">
        <v>3434.43</v>
      </c>
      <c r="H108" s="25">
        <f>F108*G108</f>
        <v>0</v>
      </c>
      <c r="J108" s="80" t="str">
        <f>"#REF!-H107"</f>
        <v>#REF!-H107</v>
      </c>
      <c r="L108" s="23" t="s">
        <v>34</v>
      </c>
      <c r="M108" s="118">
        <v>0</v>
      </c>
      <c r="N108" s="49"/>
    </row>
    <row r="109" spans="1:18" hidden="1">
      <c r="A109" s="45"/>
      <c r="B109" s="23" t="s">
        <v>23</v>
      </c>
      <c r="C109" s="34">
        <v>0</v>
      </c>
      <c r="E109" s="23" t="s">
        <v>23</v>
      </c>
      <c r="F109" s="36">
        <v>0</v>
      </c>
      <c r="G109" s="41">
        <v>2984.45</v>
      </c>
      <c r="H109" s="35">
        <f>F109*G109</f>
        <v>0</v>
      </c>
      <c r="J109" s="80" t="str">
        <f>"#REF!-H108"</f>
        <v>#REF!-H108</v>
      </c>
      <c r="L109" s="23" t="s">
        <v>23</v>
      </c>
      <c r="M109" s="118">
        <v>0</v>
      </c>
      <c r="N109" s="49"/>
    </row>
    <row r="110" spans="1:18" hidden="1">
      <c r="A110" s="45"/>
      <c r="B110" s="23" t="s">
        <v>24</v>
      </c>
      <c r="C110" s="86">
        <v>0</v>
      </c>
      <c r="E110" s="23" t="s">
        <v>24</v>
      </c>
      <c r="F110" s="36">
        <v>0</v>
      </c>
      <c r="G110" s="41">
        <v>2121.15</v>
      </c>
      <c r="H110" s="35">
        <f>F110*G110</f>
        <v>0</v>
      </c>
      <c r="J110" s="80" t="str">
        <f>"#REF!-H109"</f>
        <v>#REF!-H109</v>
      </c>
      <c r="L110" s="23" t="s">
        <v>24</v>
      </c>
      <c r="M110" s="118">
        <v>0</v>
      </c>
      <c r="N110" s="49"/>
      <c r="O110" s="191"/>
    </row>
    <row r="111" spans="1:18">
      <c r="A111" s="52"/>
      <c r="B111" s="46"/>
      <c r="C111" s="172"/>
      <c r="D111" s="134"/>
      <c r="E111" s="46"/>
      <c r="F111" s="172"/>
      <c r="G111" s="173"/>
      <c r="H111" s="173"/>
      <c r="I111" s="134"/>
      <c r="J111" s="173"/>
      <c r="K111" s="14"/>
      <c r="L111" s="45"/>
      <c r="M111" s="130"/>
      <c r="N111" s="49"/>
      <c r="O111" s="191"/>
    </row>
    <row r="112" spans="1:18" ht="15" customHeight="1">
      <c r="A112" s="443" t="s">
        <v>143</v>
      </c>
      <c r="B112" s="443"/>
      <c r="C112" s="443"/>
      <c r="D112" s="443"/>
      <c r="E112" s="443"/>
      <c r="F112" s="443"/>
      <c r="G112" s="443"/>
      <c r="H112" s="443"/>
      <c r="I112" s="443"/>
      <c r="J112" s="443"/>
      <c r="K112" s="443"/>
      <c r="L112" s="443"/>
      <c r="M112" s="443"/>
      <c r="N112" s="443"/>
      <c r="O112" s="443"/>
      <c r="P112" s="443"/>
      <c r="Q112" s="443"/>
      <c r="R112" s="443"/>
    </row>
    <row r="113" spans="1:18" ht="15" customHeight="1">
      <c r="A113" s="26" t="s">
        <v>26</v>
      </c>
      <c r="B113" s="23" t="s">
        <v>27</v>
      </c>
      <c r="C113" s="104">
        <v>1</v>
      </c>
      <c r="D113" s="26"/>
      <c r="E113" s="23" t="s">
        <v>27</v>
      </c>
      <c r="F113" s="113">
        <v>0</v>
      </c>
      <c r="G113" s="35">
        <v>9106.74</v>
      </c>
      <c r="H113" s="41">
        <f>F113*G113</f>
        <v>0</v>
      </c>
      <c r="I113" s="105"/>
      <c r="J113" s="171" t="str">
        <f>+"#REF!-H112"</f>
        <v>#REF!-H112</v>
      </c>
      <c r="L113" s="56" t="s">
        <v>27</v>
      </c>
      <c r="M113" s="29">
        <v>1</v>
      </c>
      <c r="N113" s="26" t="s">
        <v>26</v>
      </c>
      <c r="O113" s="442"/>
      <c r="P113" s="442"/>
      <c r="Q113" s="442"/>
      <c r="R113" s="442"/>
    </row>
    <row r="114" spans="1:18" ht="15" customHeight="1">
      <c r="A114" s="4" t="s">
        <v>39</v>
      </c>
      <c r="B114" s="23" t="s">
        <v>31</v>
      </c>
      <c r="C114" s="104">
        <v>0</v>
      </c>
      <c r="D114" s="14"/>
      <c r="E114" s="23"/>
      <c r="F114" s="113"/>
      <c r="G114" s="35"/>
      <c r="H114" s="41"/>
      <c r="I114" s="105"/>
      <c r="J114" s="171"/>
      <c r="L114" s="23" t="s">
        <v>31</v>
      </c>
      <c r="M114" s="29">
        <v>0</v>
      </c>
      <c r="N114" s="4"/>
      <c r="O114" s="192"/>
      <c r="P114" s="193"/>
      <c r="Q114" s="193"/>
      <c r="R114" s="194"/>
    </row>
    <row r="115" spans="1:18">
      <c r="A115" s="4" t="s">
        <v>140</v>
      </c>
      <c r="B115" s="23" t="s">
        <v>34</v>
      </c>
      <c r="C115" s="104">
        <v>1</v>
      </c>
      <c r="E115" s="23" t="s">
        <v>34</v>
      </c>
      <c r="F115" s="113">
        <v>0</v>
      </c>
      <c r="G115" s="41">
        <v>3434.43</v>
      </c>
      <c r="H115" s="41">
        <f>F115*G115</f>
        <v>0</v>
      </c>
      <c r="I115" s="105"/>
      <c r="J115" s="171" t="str">
        <f>+"#REF!-H114"</f>
        <v>#REF!-H114</v>
      </c>
      <c r="L115" s="23" t="s">
        <v>34</v>
      </c>
      <c r="M115" s="29">
        <v>1</v>
      </c>
      <c r="N115" s="4" t="s">
        <v>140</v>
      </c>
      <c r="O115" s="66"/>
      <c r="P115" s="51"/>
      <c r="Q115" s="51"/>
      <c r="R115" s="195"/>
    </row>
    <row r="116" spans="1:18">
      <c r="A116" s="4" t="s">
        <v>68</v>
      </c>
      <c r="B116" s="23" t="s">
        <v>24</v>
      </c>
      <c r="C116" s="104">
        <v>3</v>
      </c>
      <c r="E116" s="23" t="s">
        <v>24</v>
      </c>
      <c r="F116" s="113">
        <v>0</v>
      </c>
      <c r="G116" s="41">
        <v>2121.65</v>
      </c>
      <c r="H116" s="41">
        <f>F116*G116</f>
        <v>0</v>
      </c>
      <c r="I116" s="105"/>
      <c r="J116" s="171" t="str">
        <f>+"#REF!-H115"</f>
        <v>#REF!-H115</v>
      </c>
      <c r="L116" s="23" t="s">
        <v>24</v>
      </c>
      <c r="M116" s="106">
        <v>3</v>
      </c>
      <c r="N116" s="4" t="s">
        <v>68</v>
      </c>
      <c r="O116" s="66"/>
      <c r="P116" s="51"/>
      <c r="Q116" s="51"/>
      <c r="R116" s="195"/>
    </row>
    <row r="117" spans="1:18">
      <c r="A117" s="109" t="s">
        <v>44</v>
      </c>
      <c r="B117" s="23" t="s">
        <v>45</v>
      </c>
      <c r="C117" s="104">
        <v>9</v>
      </c>
      <c r="E117" s="23" t="s">
        <v>45</v>
      </c>
      <c r="F117" s="113">
        <v>0</v>
      </c>
      <c r="G117" s="41">
        <v>1567.95</v>
      </c>
      <c r="H117" s="41">
        <f>F117*G117</f>
        <v>0</v>
      </c>
      <c r="I117" s="105"/>
      <c r="J117" s="171" t="str">
        <f>+"#REF!-H116"</f>
        <v>#REF!-H116</v>
      </c>
      <c r="L117" s="23" t="s">
        <v>45</v>
      </c>
      <c r="M117" s="106">
        <v>0</v>
      </c>
      <c r="N117" s="109" t="s">
        <v>46</v>
      </c>
      <c r="O117" s="43"/>
      <c r="P117" s="196"/>
      <c r="Q117" s="196"/>
      <c r="R117" s="197"/>
    </row>
    <row r="118" spans="1:18">
      <c r="A118" s="52"/>
      <c r="B118" s="46"/>
      <c r="C118" s="172"/>
      <c r="D118" s="134"/>
      <c r="E118" s="46"/>
      <c r="F118" s="172"/>
      <c r="G118" s="173"/>
      <c r="H118" s="173"/>
      <c r="I118" s="134"/>
      <c r="J118" s="173"/>
      <c r="K118" s="14"/>
      <c r="L118" s="45"/>
      <c r="M118" s="130"/>
      <c r="N118" s="49"/>
      <c r="O118" s="191"/>
    </row>
    <row r="119" spans="1:18" ht="15" customHeight="1">
      <c r="A119" s="443" t="s">
        <v>144</v>
      </c>
      <c r="B119" s="443"/>
      <c r="C119" s="443"/>
      <c r="D119" s="443"/>
      <c r="E119" s="443"/>
      <c r="F119" s="443"/>
      <c r="G119" s="443"/>
      <c r="H119" s="443"/>
      <c r="I119" s="443"/>
      <c r="J119" s="443"/>
      <c r="K119" s="443"/>
      <c r="L119" s="443"/>
      <c r="M119" s="443"/>
      <c r="N119" s="443"/>
      <c r="O119" s="443"/>
      <c r="P119" s="443"/>
      <c r="Q119" s="443"/>
      <c r="R119" s="443"/>
    </row>
    <row r="120" spans="1:18" ht="15" customHeight="1">
      <c r="A120" s="26" t="s">
        <v>39</v>
      </c>
      <c r="B120" s="23" t="s">
        <v>31</v>
      </c>
      <c r="C120" s="104">
        <v>1</v>
      </c>
      <c r="D120" s="26"/>
      <c r="E120" s="23" t="s">
        <v>31</v>
      </c>
      <c r="F120" s="57">
        <v>1</v>
      </c>
      <c r="G120" s="41">
        <v>4726.7</v>
      </c>
      <c r="H120" s="41">
        <f>F120*G120</f>
        <v>4726.7</v>
      </c>
      <c r="J120" s="171" t="str">
        <f>+"#REF!-H119"</f>
        <v>#REF!-H119</v>
      </c>
      <c r="L120" s="23" t="s">
        <v>31</v>
      </c>
      <c r="M120" s="29">
        <v>1</v>
      </c>
      <c r="N120" s="26" t="s">
        <v>39</v>
      </c>
      <c r="O120" s="198"/>
      <c r="P120" s="199"/>
      <c r="Q120" s="199"/>
      <c r="R120" s="200"/>
    </row>
    <row r="121" spans="1:18">
      <c r="A121" s="4" t="s">
        <v>35</v>
      </c>
      <c r="B121" s="23" t="s">
        <v>34</v>
      </c>
      <c r="C121" s="104">
        <v>3</v>
      </c>
      <c r="E121" s="23" t="s">
        <v>34</v>
      </c>
      <c r="F121" s="57">
        <v>3</v>
      </c>
      <c r="G121" s="41">
        <v>3434.43</v>
      </c>
      <c r="H121" s="41">
        <f>F121*G121</f>
        <v>10303.289999999999</v>
      </c>
      <c r="J121" s="171" t="str">
        <f>+"#REF!-H120"</f>
        <v>#REF!-H120</v>
      </c>
      <c r="L121" s="23" t="s">
        <v>34</v>
      </c>
      <c r="M121" s="29">
        <v>3</v>
      </c>
      <c r="N121" s="4" t="s">
        <v>35</v>
      </c>
      <c r="O121" s="201"/>
      <c r="P121" s="202"/>
      <c r="Q121" s="202"/>
      <c r="R121" s="203"/>
    </row>
    <row r="122" spans="1:18">
      <c r="A122" s="4" t="s">
        <v>42</v>
      </c>
      <c r="B122" s="23" t="s">
        <v>24</v>
      </c>
      <c r="C122" s="104">
        <v>2</v>
      </c>
      <c r="E122" s="23" t="s">
        <v>24</v>
      </c>
      <c r="F122" s="57">
        <v>0</v>
      </c>
      <c r="G122" s="41">
        <v>2121.65</v>
      </c>
      <c r="H122" s="41">
        <f>F122*G122</f>
        <v>0</v>
      </c>
      <c r="J122" s="171" t="str">
        <f>+"#REF!-H121"</f>
        <v>#REF!-H121</v>
      </c>
      <c r="L122" s="23" t="s">
        <v>24</v>
      </c>
      <c r="M122" s="106">
        <v>2</v>
      </c>
      <c r="N122" s="4" t="s">
        <v>42</v>
      </c>
      <c r="O122" s="204"/>
      <c r="P122" s="205"/>
      <c r="Q122" s="205"/>
      <c r="R122" s="206"/>
    </row>
    <row r="123" spans="1:18">
      <c r="A123" s="109" t="s">
        <v>44</v>
      </c>
      <c r="B123" s="23" t="s">
        <v>45</v>
      </c>
      <c r="C123" s="104">
        <v>1</v>
      </c>
      <c r="E123" s="23" t="s">
        <v>45</v>
      </c>
      <c r="F123" s="57">
        <v>0</v>
      </c>
      <c r="G123" s="41">
        <v>1567.95</v>
      </c>
      <c r="H123" s="41">
        <f>F123*G123</f>
        <v>0</v>
      </c>
      <c r="J123" s="171" t="str">
        <f>+"#REF!-H122"</f>
        <v>#REF!-H122</v>
      </c>
      <c r="L123" s="23" t="s">
        <v>45</v>
      </c>
      <c r="M123" s="106">
        <v>0</v>
      </c>
      <c r="N123" s="109" t="s">
        <v>46</v>
      </c>
      <c r="O123" s="207"/>
      <c r="P123" s="208"/>
      <c r="Q123" s="208"/>
      <c r="R123" s="209"/>
    </row>
    <row r="124" spans="1:18">
      <c r="A124" s="52"/>
      <c r="B124" s="46"/>
      <c r="C124" s="172"/>
      <c r="D124" s="134"/>
      <c r="E124" s="46"/>
      <c r="F124" s="172"/>
      <c r="G124" s="173"/>
      <c r="H124" s="173"/>
      <c r="I124" s="134"/>
      <c r="J124" s="173"/>
      <c r="K124" s="14"/>
      <c r="L124" s="45"/>
      <c r="M124" s="130"/>
      <c r="N124" s="49"/>
      <c r="O124" s="191"/>
    </row>
    <row r="125" spans="1:18" ht="15" customHeight="1">
      <c r="A125" s="443" t="s">
        <v>145</v>
      </c>
      <c r="B125" s="443"/>
      <c r="C125" s="443"/>
      <c r="D125" s="443"/>
      <c r="E125" s="443"/>
      <c r="F125" s="443"/>
      <c r="G125" s="443"/>
      <c r="H125" s="443"/>
      <c r="I125" s="443"/>
      <c r="J125" s="443"/>
      <c r="K125" s="443"/>
      <c r="L125" s="443"/>
      <c r="M125" s="443"/>
      <c r="N125" s="443"/>
      <c r="O125" s="443"/>
      <c r="P125" s="443"/>
      <c r="Q125" s="443"/>
      <c r="R125" s="443"/>
    </row>
    <row r="126" spans="1:18">
      <c r="A126" s="26" t="s">
        <v>39</v>
      </c>
      <c r="B126" s="23" t="s">
        <v>31</v>
      </c>
      <c r="C126" s="104">
        <v>1</v>
      </c>
      <c r="D126" s="26"/>
      <c r="E126" s="23" t="s">
        <v>31</v>
      </c>
      <c r="F126" s="57">
        <v>1</v>
      </c>
      <c r="G126" s="41">
        <v>4726.7</v>
      </c>
      <c r="H126" s="41">
        <f>F126*G126</f>
        <v>4726.7</v>
      </c>
      <c r="J126" s="171" t="str">
        <f>+"#REF!-H125"</f>
        <v>#REF!-H125</v>
      </c>
      <c r="L126" s="23" t="s">
        <v>31</v>
      </c>
      <c r="M126" s="29">
        <v>1</v>
      </c>
      <c r="N126" s="26" t="s">
        <v>39</v>
      </c>
      <c r="O126" s="442"/>
      <c r="P126" s="442"/>
      <c r="Q126" s="442"/>
      <c r="R126" s="442"/>
    </row>
    <row r="127" spans="1:18">
      <c r="A127" s="4" t="s">
        <v>35</v>
      </c>
      <c r="B127" s="23" t="s">
        <v>34</v>
      </c>
      <c r="C127" s="104">
        <v>1</v>
      </c>
      <c r="E127" s="23" t="s">
        <v>34</v>
      </c>
      <c r="F127" s="57">
        <v>0</v>
      </c>
      <c r="G127" s="41">
        <v>3434.43</v>
      </c>
      <c r="H127" s="41">
        <f>F127*G127</f>
        <v>0</v>
      </c>
      <c r="J127" s="171" t="str">
        <f>+"#REF!-H126"</f>
        <v>#REF!-H126</v>
      </c>
      <c r="L127" s="23" t="s">
        <v>34</v>
      </c>
      <c r="M127" s="29">
        <v>1</v>
      </c>
      <c r="N127" s="4" t="s">
        <v>35</v>
      </c>
      <c r="O127" s="442"/>
      <c r="P127" s="442"/>
      <c r="Q127" s="442"/>
      <c r="R127" s="442"/>
    </row>
    <row r="128" spans="1:18" ht="15" customHeight="1">
      <c r="A128" s="109" t="s">
        <v>42</v>
      </c>
      <c r="B128" s="23" t="s">
        <v>24</v>
      </c>
      <c r="C128" s="104">
        <v>3</v>
      </c>
      <c r="E128" s="23" t="s">
        <v>24</v>
      </c>
      <c r="F128" s="57">
        <v>0</v>
      </c>
      <c r="G128" s="41">
        <v>2121.65</v>
      </c>
      <c r="H128" s="41">
        <f>F128*G128</f>
        <v>0</v>
      </c>
      <c r="J128" s="171" t="str">
        <f>+"#REF!-H127"</f>
        <v>#REF!-H127</v>
      </c>
      <c r="L128" s="23" t="s">
        <v>24</v>
      </c>
      <c r="M128" s="29">
        <v>3</v>
      </c>
      <c r="N128" s="109" t="s">
        <v>42</v>
      </c>
      <c r="O128" s="439"/>
      <c r="P128" s="439"/>
      <c r="Q128" s="439"/>
      <c r="R128" s="439"/>
    </row>
    <row r="129" spans="1:18">
      <c r="A129" s="52"/>
      <c r="B129" s="45"/>
      <c r="C129" s="130"/>
      <c r="D129" s="134"/>
      <c r="E129" s="46"/>
      <c r="F129" s="172"/>
      <c r="G129" s="173"/>
      <c r="H129" s="173"/>
      <c r="I129" s="134"/>
      <c r="J129" s="173"/>
      <c r="K129" s="14"/>
      <c r="L129" s="45"/>
      <c r="M129" s="130"/>
      <c r="N129" s="49"/>
      <c r="O129" s="191"/>
    </row>
    <row r="130" spans="1:18" ht="15" customHeight="1">
      <c r="A130" s="443" t="s">
        <v>146</v>
      </c>
      <c r="B130" s="443"/>
      <c r="C130" s="443"/>
      <c r="D130" s="443"/>
      <c r="E130" s="443"/>
      <c r="F130" s="443"/>
      <c r="G130" s="443"/>
      <c r="H130" s="443"/>
      <c r="I130" s="443"/>
      <c r="J130" s="443"/>
      <c r="K130" s="443"/>
      <c r="L130" s="443"/>
      <c r="M130" s="443"/>
      <c r="N130" s="443"/>
      <c r="O130" s="443"/>
      <c r="P130" s="443"/>
      <c r="Q130" s="443"/>
      <c r="R130" s="443"/>
    </row>
    <row r="131" spans="1:18" ht="15" customHeight="1">
      <c r="A131" s="26" t="s">
        <v>39</v>
      </c>
      <c r="B131" s="23" t="s">
        <v>31</v>
      </c>
      <c r="C131" s="104">
        <v>1</v>
      </c>
      <c r="D131" s="26"/>
      <c r="E131" s="23" t="s">
        <v>31</v>
      </c>
      <c r="F131" s="57">
        <v>1</v>
      </c>
      <c r="G131" s="41">
        <v>4726.7</v>
      </c>
      <c r="H131" s="41">
        <f>F131*G131</f>
        <v>4726.7</v>
      </c>
      <c r="J131" s="171" t="str">
        <f>+"#REF!-H130"</f>
        <v>#REF!-H130</v>
      </c>
      <c r="L131" s="23" t="s">
        <v>31</v>
      </c>
      <c r="M131" s="29">
        <v>1</v>
      </c>
      <c r="N131" s="26" t="s">
        <v>39</v>
      </c>
      <c r="O131" s="442"/>
      <c r="P131" s="442"/>
      <c r="Q131" s="442"/>
      <c r="R131" s="442"/>
    </row>
    <row r="132" spans="1:18">
      <c r="A132" s="4" t="s">
        <v>65</v>
      </c>
      <c r="B132" s="23" t="s">
        <v>24</v>
      </c>
      <c r="C132" s="104">
        <v>4</v>
      </c>
      <c r="E132" s="23" t="s">
        <v>24</v>
      </c>
      <c r="F132" s="57">
        <v>0</v>
      </c>
      <c r="G132" s="41">
        <v>2121.65</v>
      </c>
      <c r="H132" s="41">
        <f>F132*G132</f>
        <v>0</v>
      </c>
      <c r="J132" s="171" t="str">
        <f>+"#REF!-H131"</f>
        <v>#REF!-H131</v>
      </c>
      <c r="L132" s="23" t="s">
        <v>24</v>
      </c>
      <c r="M132" s="106">
        <v>4</v>
      </c>
      <c r="N132" s="4" t="s">
        <v>65</v>
      </c>
      <c r="O132" s="439"/>
      <c r="P132" s="439"/>
      <c r="Q132" s="439"/>
      <c r="R132" s="439"/>
    </row>
    <row r="133" spans="1:18">
      <c r="A133" s="109" t="s">
        <v>44</v>
      </c>
      <c r="B133" s="23" t="s">
        <v>45</v>
      </c>
      <c r="C133" s="104">
        <v>13</v>
      </c>
      <c r="E133" s="23" t="s">
        <v>45</v>
      </c>
      <c r="F133" s="57">
        <v>0</v>
      </c>
      <c r="G133" s="41">
        <v>1567.95</v>
      </c>
      <c r="H133" s="41">
        <f>F133*G133</f>
        <v>0</v>
      </c>
      <c r="J133" s="171" t="str">
        <f>+"#REF!-H132"</f>
        <v>#REF!-H132</v>
      </c>
      <c r="L133" s="23" t="s">
        <v>45</v>
      </c>
      <c r="M133" s="106">
        <v>0</v>
      </c>
      <c r="N133" s="109" t="s">
        <v>46</v>
      </c>
      <c r="O133" s="439"/>
      <c r="P133" s="439"/>
      <c r="Q133" s="439"/>
      <c r="R133" s="439"/>
    </row>
    <row r="134" spans="1:18" ht="12.75" hidden="1" customHeight="1">
      <c r="A134" s="443" t="s">
        <v>147</v>
      </c>
      <c r="B134" s="443"/>
      <c r="C134" s="443"/>
      <c r="D134" s="443"/>
      <c r="E134" s="443"/>
      <c r="F134" s="443"/>
    </row>
    <row r="135" spans="1:18" ht="12.75" hidden="1" customHeight="1">
      <c r="B135" s="23" t="s">
        <v>31</v>
      </c>
      <c r="C135" s="104">
        <v>0</v>
      </c>
      <c r="E135" s="23" t="s">
        <v>31</v>
      </c>
      <c r="F135" s="57">
        <v>1</v>
      </c>
      <c r="G135" s="41">
        <v>4726.7</v>
      </c>
      <c r="H135" s="41">
        <f>F135*G135</f>
        <v>4726.7</v>
      </c>
      <c r="J135" s="171" t="str">
        <f>+"#REF!-H134"</f>
        <v>#REF!-H134</v>
      </c>
      <c r="L135" s="23" t="s">
        <v>31</v>
      </c>
      <c r="M135" s="59">
        <v>0</v>
      </c>
      <c r="N135" s="51"/>
      <c r="O135" s="1" t="s">
        <v>148</v>
      </c>
    </row>
    <row r="136" spans="1:18" ht="12.75" hidden="1" customHeight="1">
      <c r="B136" s="23" t="s">
        <v>23</v>
      </c>
      <c r="C136" s="34">
        <v>0</v>
      </c>
      <c r="E136" s="23" t="s">
        <v>23</v>
      </c>
      <c r="F136" s="27">
        <v>0</v>
      </c>
      <c r="G136" s="41">
        <v>2984.45</v>
      </c>
      <c r="H136" s="25">
        <f>F136*G136</f>
        <v>0</v>
      </c>
      <c r="J136" s="80" t="str">
        <f>"#REF!-H135"</f>
        <v>#REF!-H135</v>
      </c>
      <c r="L136" s="23" t="s">
        <v>23</v>
      </c>
      <c r="M136" s="64">
        <v>0</v>
      </c>
      <c r="N136" s="49"/>
    </row>
    <row r="137" spans="1:18" ht="12.75" hidden="1" customHeight="1">
      <c r="B137" s="23" t="s">
        <v>24</v>
      </c>
      <c r="C137" s="104">
        <v>0</v>
      </c>
      <c r="E137" s="23" t="s">
        <v>24</v>
      </c>
      <c r="F137" s="57">
        <v>0</v>
      </c>
      <c r="G137" s="41">
        <v>2121.65</v>
      </c>
      <c r="H137" s="41">
        <f>F137*G137</f>
        <v>0</v>
      </c>
      <c r="J137" s="171" t="str">
        <f>+"#REF!-H136"</f>
        <v>#REF!-H136</v>
      </c>
      <c r="L137" s="23" t="s">
        <v>24</v>
      </c>
      <c r="M137" s="118">
        <v>0</v>
      </c>
      <c r="N137" s="51"/>
    </row>
    <row r="138" spans="1:18" ht="15" customHeight="1">
      <c r="A138" s="52"/>
      <c r="B138" s="46"/>
      <c r="C138" s="172"/>
      <c r="D138" s="134"/>
      <c r="E138" s="46"/>
      <c r="F138" s="172"/>
      <c r="G138" s="173"/>
      <c r="H138" s="173"/>
      <c r="I138" s="134"/>
      <c r="J138" s="173"/>
      <c r="K138" s="14"/>
      <c r="L138" s="45"/>
      <c r="M138" s="130"/>
      <c r="N138" s="49"/>
      <c r="O138" s="191"/>
    </row>
    <row r="139" spans="1:18" ht="15" customHeight="1">
      <c r="A139" s="443" t="s">
        <v>149</v>
      </c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</row>
    <row r="140" spans="1:18" ht="15" customHeight="1">
      <c r="A140" s="26" t="s">
        <v>35</v>
      </c>
      <c r="B140" s="23" t="s">
        <v>34</v>
      </c>
      <c r="C140" s="34">
        <v>1</v>
      </c>
      <c r="D140" s="26"/>
      <c r="E140" s="23" t="s">
        <v>34</v>
      </c>
      <c r="F140" s="27">
        <v>3</v>
      </c>
      <c r="G140" s="41">
        <v>3434.43</v>
      </c>
      <c r="H140" s="25">
        <f>F140*G140</f>
        <v>10303.289999999999</v>
      </c>
      <c r="J140" s="80" t="str">
        <f>+"#REF!-H139"</f>
        <v>#REF!-H139</v>
      </c>
      <c r="L140" s="23" t="s">
        <v>34</v>
      </c>
      <c r="M140" s="29">
        <v>1</v>
      </c>
      <c r="N140" s="26" t="s">
        <v>35</v>
      </c>
      <c r="O140" s="442"/>
      <c r="P140" s="442"/>
      <c r="Q140" s="442"/>
      <c r="R140" s="442"/>
    </row>
    <row r="141" spans="1:18" ht="15" customHeight="1">
      <c r="A141" s="4" t="s">
        <v>68</v>
      </c>
      <c r="B141" s="23" t="s">
        <v>24</v>
      </c>
      <c r="C141" s="104">
        <v>1</v>
      </c>
      <c r="E141" s="23" t="s">
        <v>24</v>
      </c>
      <c r="F141" s="57">
        <v>0</v>
      </c>
      <c r="G141" s="41">
        <v>2121.65</v>
      </c>
      <c r="H141" s="41">
        <f>F141*G141</f>
        <v>0</v>
      </c>
      <c r="J141" s="171" t="str">
        <f>+"#REF!-H140"</f>
        <v>#REF!-H140</v>
      </c>
      <c r="L141" s="23" t="s">
        <v>24</v>
      </c>
      <c r="M141" s="106">
        <v>1</v>
      </c>
      <c r="N141" s="4" t="s">
        <v>68</v>
      </c>
      <c r="O141" s="439"/>
      <c r="P141" s="439"/>
      <c r="Q141" s="439"/>
      <c r="R141" s="439"/>
    </row>
    <row r="142" spans="1:18">
      <c r="A142" s="109" t="s">
        <v>44</v>
      </c>
      <c r="B142" s="23" t="s">
        <v>45</v>
      </c>
      <c r="C142" s="104">
        <v>1</v>
      </c>
      <c r="E142" s="23" t="s">
        <v>45</v>
      </c>
      <c r="F142" s="57">
        <v>0</v>
      </c>
      <c r="G142" s="41">
        <v>1567.95</v>
      </c>
      <c r="H142" s="41">
        <f>F142*G142</f>
        <v>0</v>
      </c>
      <c r="J142" s="171" t="str">
        <f>+"#REF!-H141"</f>
        <v>#REF!-H141</v>
      </c>
      <c r="L142" s="23" t="s">
        <v>45</v>
      </c>
      <c r="M142" s="106">
        <v>0</v>
      </c>
      <c r="N142" s="109" t="s">
        <v>46</v>
      </c>
      <c r="O142" s="439"/>
      <c r="P142" s="439"/>
      <c r="Q142" s="439"/>
      <c r="R142" s="439"/>
    </row>
    <row r="143" spans="1:18">
      <c r="A143" s="52"/>
      <c r="B143" s="46"/>
      <c r="C143" s="172"/>
      <c r="D143" s="134"/>
      <c r="E143" s="46"/>
      <c r="F143" s="172"/>
      <c r="G143" s="173"/>
      <c r="H143" s="173"/>
      <c r="I143" s="134"/>
      <c r="J143" s="173"/>
      <c r="K143" s="14"/>
      <c r="L143" s="45"/>
      <c r="M143" s="130"/>
      <c r="N143" s="52"/>
      <c r="O143" s="14"/>
      <c r="P143" s="14"/>
      <c r="Q143" s="14"/>
      <c r="R143" s="14"/>
    </row>
    <row r="144" spans="1:18" ht="12.75" hidden="1" customHeight="1">
      <c r="A144" s="415" t="s">
        <v>150</v>
      </c>
      <c r="B144" s="415"/>
      <c r="C144" s="415"/>
      <c r="D144" s="415"/>
      <c r="E144" s="415"/>
      <c r="F144" s="415"/>
      <c r="G144" s="415"/>
      <c r="H144" s="415"/>
      <c r="I144" s="415"/>
      <c r="J144" s="415"/>
      <c r="K144" s="415"/>
      <c r="L144" s="415"/>
      <c r="M144" s="415"/>
      <c r="N144" s="415"/>
      <c r="O144" s="415"/>
      <c r="P144" s="415"/>
      <c r="Q144" s="415"/>
      <c r="R144" s="415"/>
    </row>
    <row r="145" spans="1:18" ht="12.75" hidden="1" customHeight="1">
      <c r="A145" s="177"/>
      <c r="B145" s="177" t="s">
        <v>31</v>
      </c>
      <c r="C145" s="178">
        <v>0</v>
      </c>
      <c r="D145" s="121"/>
      <c r="E145" s="177" t="s">
        <v>31</v>
      </c>
      <c r="F145" s="93">
        <v>1</v>
      </c>
      <c r="G145" s="179">
        <v>4726.7</v>
      </c>
      <c r="H145" s="181">
        <f>F145*G145</f>
        <v>4726.7</v>
      </c>
      <c r="I145" s="134"/>
      <c r="J145" s="181" t="str">
        <f>+"#REF!-H144"</f>
        <v>#REF!-H144</v>
      </c>
      <c r="K145" s="14"/>
      <c r="L145" s="177" t="s">
        <v>31</v>
      </c>
      <c r="M145" s="210">
        <v>0</v>
      </c>
      <c r="N145" s="33"/>
      <c r="O145" s="441" t="s">
        <v>151</v>
      </c>
      <c r="P145" s="441"/>
      <c r="Q145" s="441"/>
      <c r="R145" s="441"/>
    </row>
    <row r="146" spans="1:18">
      <c r="A146" s="52"/>
      <c r="B146" s="45"/>
      <c r="C146" s="130"/>
      <c r="D146" s="134"/>
      <c r="E146" s="45"/>
      <c r="F146" s="130"/>
      <c r="G146" s="183"/>
      <c r="H146" s="183"/>
      <c r="I146" s="134"/>
      <c r="J146" s="183"/>
      <c r="K146" s="14"/>
      <c r="L146" s="45"/>
      <c r="M146" s="130"/>
      <c r="N146" s="52"/>
      <c r="O146" s="14"/>
      <c r="P146" s="14"/>
      <c r="Q146" s="14"/>
      <c r="R146" s="14"/>
    </row>
    <row r="147" spans="1:18" ht="15" customHeight="1">
      <c r="A147" s="415" t="s">
        <v>152</v>
      </c>
      <c r="B147" s="415"/>
      <c r="C147" s="415"/>
      <c r="D147" s="415"/>
      <c r="E147" s="415"/>
      <c r="F147" s="415"/>
      <c r="G147" s="415"/>
      <c r="H147" s="415"/>
      <c r="I147" s="415"/>
      <c r="J147" s="415"/>
      <c r="K147" s="415"/>
      <c r="L147" s="415"/>
      <c r="M147" s="415"/>
      <c r="N147" s="415"/>
      <c r="O147" s="415"/>
      <c r="P147" s="415"/>
      <c r="Q147" s="415"/>
      <c r="R147" s="415"/>
    </row>
    <row r="148" spans="1:18" ht="15" customHeight="1">
      <c r="A148" s="26" t="s">
        <v>35</v>
      </c>
      <c r="B148" s="23" t="s">
        <v>34</v>
      </c>
      <c r="C148" s="104">
        <v>1</v>
      </c>
      <c r="D148" s="26"/>
      <c r="E148" s="23" t="s">
        <v>34</v>
      </c>
      <c r="F148" s="57">
        <v>2</v>
      </c>
      <c r="G148" s="41">
        <v>3434.43</v>
      </c>
      <c r="H148" s="41">
        <f>F148*G148</f>
        <v>6868.86</v>
      </c>
      <c r="J148" s="171" t="str">
        <f>+"#REF!-H147"</f>
        <v>#REF!-H147</v>
      </c>
      <c r="L148" s="23" t="s">
        <v>34</v>
      </c>
      <c r="M148" s="29">
        <v>1</v>
      </c>
      <c r="N148" s="26" t="s">
        <v>35</v>
      </c>
      <c r="O148" s="442"/>
      <c r="P148" s="442"/>
      <c r="Q148" s="442"/>
      <c r="R148" s="442"/>
    </row>
    <row r="149" spans="1:18" ht="15" customHeight="1">
      <c r="A149" s="4" t="s">
        <v>133</v>
      </c>
      <c r="B149" s="23" t="s">
        <v>23</v>
      </c>
      <c r="C149" s="104">
        <v>2</v>
      </c>
      <c r="E149" s="23" t="s">
        <v>23</v>
      </c>
      <c r="F149" s="57">
        <v>0</v>
      </c>
      <c r="G149" s="41">
        <v>2984.45</v>
      </c>
      <c r="H149" s="41">
        <f>F149*G149</f>
        <v>0</v>
      </c>
      <c r="J149" s="171" t="str">
        <f>+"#REF!-H148"</f>
        <v>#REF!-H148</v>
      </c>
      <c r="L149" s="23" t="s">
        <v>23</v>
      </c>
      <c r="M149" s="29">
        <v>2</v>
      </c>
      <c r="N149" s="4" t="s">
        <v>133</v>
      </c>
      <c r="O149" s="439"/>
      <c r="P149" s="439"/>
      <c r="Q149" s="439"/>
      <c r="R149" s="439"/>
    </row>
    <row r="150" spans="1:18">
      <c r="A150" s="4" t="s">
        <v>68</v>
      </c>
      <c r="B150" s="23" t="s">
        <v>24</v>
      </c>
      <c r="C150" s="104">
        <v>1</v>
      </c>
      <c r="E150" s="23" t="s">
        <v>24</v>
      </c>
      <c r="F150" s="57">
        <v>0</v>
      </c>
      <c r="G150" s="41">
        <v>2121.65</v>
      </c>
      <c r="H150" s="41">
        <f>F150*G150</f>
        <v>0</v>
      </c>
      <c r="J150" s="171" t="str">
        <f>+"#REF!-H149"</f>
        <v>#REF!-H149</v>
      </c>
      <c r="L150" s="23" t="s">
        <v>24</v>
      </c>
      <c r="M150" s="106">
        <v>1</v>
      </c>
      <c r="N150" s="4" t="s">
        <v>68</v>
      </c>
      <c r="O150" s="439"/>
      <c r="P150" s="439"/>
      <c r="Q150" s="439"/>
      <c r="R150" s="439"/>
    </row>
    <row r="151" spans="1:18">
      <c r="A151" s="109" t="s">
        <v>44</v>
      </c>
      <c r="B151" s="23" t="s">
        <v>45</v>
      </c>
      <c r="C151" s="104">
        <v>1</v>
      </c>
      <c r="E151" s="23" t="s">
        <v>45</v>
      </c>
      <c r="F151" s="57">
        <v>0</v>
      </c>
      <c r="G151" s="41">
        <v>1567.95</v>
      </c>
      <c r="H151" s="41">
        <f>F151*G151</f>
        <v>0</v>
      </c>
      <c r="J151" s="171" t="str">
        <f>+"#REF!-H150"</f>
        <v>#REF!-H150</v>
      </c>
      <c r="L151" s="23" t="s">
        <v>45</v>
      </c>
      <c r="M151" s="106">
        <v>0</v>
      </c>
      <c r="N151" s="109" t="s">
        <v>46</v>
      </c>
      <c r="O151" s="439"/>
      <c r="P151" s="439"/>
      <c r="Q151" s="439"/>
      <c r="R151" s="439"/>
    </row>
    <row r="152" spans="1:18">
      <c r="A152" s="52"/>
      <c r="B152" s="46"/>
      <c r="C152" s="172"/>
      <c r="D152" s="134"/>
      <c r="E152" s="46"/>
      <c r="F152" s="172"/>
      <c r="G152" s="173"/>
      <c r="H152" s="173"/>
      <c r="I152" s="134"/>
      <c r="J152" s="173"/>
      <c r="K152" s="14"/>
      <c r="L152" s="45"/>
      <c r="M152" s="130"/>
      <c r="N152" s="52"/>
    </row>
    <row r="153" spans="1:18" ht="15" customHeight="1">
      <c r="A153" s="415" t="s">
        <v>153</v>
      </c>
      <c r="B153" s="415"/>
      <c r="C153" s="415"/>
      <c r="D153" s="415"/>
      <c r="E153" s="415"/>
      <c r="F153" s="415"/>
      <c r="G153" s="415"/>
      <c r="H153" s="415"/>
      <c r="I153" s="415"/>
      <c r="J153" s="415"/>
      <c r="K153" s="415"/>
      <c r="L153" s="415"/>
      <c r="M153" s="415"/>
      <c r="N153" s="415"/>
      <c r="O153" s="415"/>
      <c r="P153" s="415"/>
      <c r="Q153" s="415"/>
      <c r="R153" s="415"/>
    </row>
    <row r="154" spans="1:18" ht="15" customHeight="1">
      <c r="A154" s="26" t="s">
        <v>35</v>
      </c>
      <c r="B154" s="23" t="s">
        <v>34</v>
      </c>
      <c r="C154" s="104">
        <v>1</v>
      </c>
      <c r="D154" s="26"/>
      <c r="E154" s="23" t="s">
        <v>34</v>
      </c>
      <c r="F154" s="57">
        <v>2</v>
      </c>
      <c r="G154" s="41">
        <v>3434.43</v>
      </c>
      <c r="H154" s="41">
        <f>F154*G154</f>
        <v>6868.86</v>
      </c>
      <c r="J154" s="171" t="str">
        <f>+"#REF!-H153"</f>
        <v>#REF!-H153</v>
      </c>
      <c r="L154" s="23" t="s">
        <v>34</v>
      </c>
      <c r="M154" s="29">
        <v>1</v>
      </c>
      <c r="N154" s="26" t="s">
        <v>35</v>
      </c>
      <c r="O154" s="442"/>
      <c r="P154" s="442"/>
      <c r="Q154" s="442"/>
      <c r="R154" s="442"/>
    </row>
    <row r="155" spans="1:18">
      <c r="A155" s="4" t="s">
        <v>133</v>
      </c>
      <c r="B155" s="23" t="s">
        <v>23</v>
      </c>
      <c r="C155" s="104">
        <v>2</v>
      </c>
      <c r="E155" s="23" t="s">
        <v>23</v>
      </c>
      <c r="F155" s="57">
        <v>0</v>
      </c>
      <c r="G155" s="41">
        <v>2984.45</v>
      </c>
      <c r="H155" s="41">
        <f>F155*G155</f>
        <v>0</v>
      </c>
      <c r="J155" s="171" t="str">
        <f>+"#REF!-H154"</f>
        <v>#REF!-H154</v>
      </c>
      <c r="L155" s="23" t="s">
        <v>23</v>
      </c>
      <c r="M155" s="29">
        <v>2</v>
      </c>
      <c r="N155" s="4" t="s">
        <v>133</v>
      </c>
      <c r="O155" s="66"/>
      <c r="P155" s="205"/>
      <c r="Q155" s="205"/>
      <c r="R155" s="206"/>
    </row>
    <row r="156" spans="1:18" ht="15" customHeight="1">
      <c r="A156" s="4" t="s">
        <v>68</v>
      </c>
      <c r="B156" s="23" t="s">
        <v>24</v>
      </c>
      <c r="C156" s="104">
        <v>1</v>
      </c>
      <c r="E156" s="23" t="s">
        <v>24</v>
      </c>
      <c r="F156" s="57">
        <v>0</v>
      </c>
      <c r="G156" s="41">
        <v>2121.65</v>
      </c>
      <c r="H156" s="41">
        <f>F156*G156</f>
        <v>0</v>
      </c>
      <c r="J156" s="171" t="str">
        <f>+"#REF!-H155"</f>
        <v>#REF!-H155</v>
      </c>
      <c r="L156" s="23" t="s">
        <v>24</v>
      </c>
      <c r="M156" s="106">
        <v>1</v>
      </c>
      <c r="N156" s="4" t="s">
        <v>68</v>
      </c>
      <c r="O156" s="439"/>
      <c r="P156" s="439"/>
      <c r="Q156" s="439"/>
      <c r="R156" s="439"/>
    </row>
    <row r="157" spans="1:18">
      <c r="A157" s="109" t="s">
        <v>44</v>
      </c>
      <c r="B157" s="23" t="s">
        <v>45</v>
      </c>
      <c r="C157" s="104">
        <v>1</v>
      </c>
      <c r="E157" s="23" t="s">
        <v>45</v>
      </c>
      <c r="F157" s="57">
        <v>0</v>
      </c>
      <c r="G157" s="41">
        <v>1567.95</v>
      </c>
      <c r="H157" s="41">
        <f>F157*G157</f>
        <v>0</v>
      </c>
      <c r="J157" s="171" t="str">
        <f>+"#REF!-H156"</f>
        <v>#REF!-H156</v>
      </c>
      <c r="L157" s="23" t="s">
        <v>45</v>
      </c>
      <c r="M157" s="106">
        <v>0</v>
      </c>
      <c r="N157" s="109" t="s">
        <v>46</v>
      </c>
      <c r="O157" s="439"/>
      <c r="P157" s="439"/>
      <c r="Q157" s="439"/>
      <c r="R157" s="439"/>
    </row>
    <row r="158" spans="1:18">
      <c r="A158" s="134"/>
      <c r="B158" s="211"/>
      <c r="C158" s="172"/>
      <c r="E158" s="211"/>
      <c r="F158" s="212"/>
      <c r="G158" s="48"/>
      <c r="H158" s="48"/>
      <c r="J158" s="173"/>
      <c r="L158" s="129"/>
      <c r="M158" s="213"/>
      <c r="N158" s="134"/>
      <c r="O158" s="214"/>
      <c r="P158" s="214"/>
      <c r="Q158" s="214"/>
      <c r="R158" s="214"/>
    </row>
    <row r="159" spans="1:18" ht="15" customHeight="1">
      <c r="A159" s="415" t="s">
        <v>154</v>
      </c>
      <c r="B159" s="415"/>
      <c r="C159" s="415"/>
      <c r="D159" s="415"/>
      <c r="E159" s="415"/>
      <c r="F159" s="415"/>
      <c r="G159" s="415"/>
      <c r="H159" s="415"/>
      <c r="I159" s="415"/>
      <c r="J159" s="415"/>
      <c r="K159" s="415"/>
      <c r="L159" s="415"/>
      <c r="M159" s="415"/>
      <c r="N159" s="415"/>
      <c r="O159" s="415"/>
      <c r="P159" s="415"/>
      <c r="Q159" s="415"/>
      <c r="R159" s="415"/>
    </row>
    <row r="160" spans="1:18">
      <c r="A160" s="124" t="s">
        <v>133</v>
      </c>
      <c r="B160" s="215" t="s">
        <v>23</v>
      </c>
      <c r="C160" s="104">
        <v>3</v>
      </c>
      <c r="E160" s="23" t="s">
        <v>23</v>
      </c>
      <c r="F160" s="57">
        <v>0</v>
      </c>
      <c r="G160" s="41">
        <v>2984.45</v>
      </c>
      <c r="H160" s="41">
        <f>F160*G160</f>
        <v>0</v>
      </c>
      <c r="J160" s="171" t="str">
        <f>+"#REF!-H154"</f>
        <v>#REF!-H154</v>
      </c>
      <c r="L160" s="23" t="s">
        <v>23</v>
      </c>
      <c r="M160" s="216">
        <v>0</v>
      </c>
      <c r="N160" s="124" t="s">
        <v>133</v>
      </c>
      <c r="O160" s="217"/>
      <c r="P160" s="218"/>
      <c r="Q160" s="218"/>
      <c r="R160" s="219"/>
    </row>
    <row r="161" spans="1:18">
      <c r="A161" s="52"/>
      <c r="B161" s="46"/>
      <c r="C161" s="172"/>
      <c r="D161" s="134"/>
      <c r="E161" s="46"/>
      <c r="F161" s="172"/>
      <c r="G161" s="173"/>
      <c r="H161" s="173"/>
      <c r="I161" s="134"/>
      <c r="J161" s="173"/>
      <c r="K161" s="14"/>
      <c r="L161" s="45"/>
      <c r="M161" s="130"/>
      <c r="N161" s="52"/>
    </row>
    <row r="162" spans="1:18" ht="12.75" hidden="1" customHeight="1">
      <c r="A162" s="415" t="s">
        <v>155</v>
      </c>
      <c r="B162" s="415"/>
      <c r="C162" s="415"/>
      <c r="D162" s="415"/>
      <c r="E162" s="415"/>
      <c r="F162" s="415"/>
      <c r="G162" s="415"/>
      <c r="H162" s="415"/>
      <c r="I162" s="415"/>
      <c r="J162" s="415"/>
      <c r="K162" s="415"/>
      <c r="L162" s="415"/>
      <c r="M162" s="415"/>
      <c r="N162" s="415"/>
      <c r="O162" s="415"/>
      <c r="P162" s="415"/>
      <c r="Q162" s="415"/>
      <c r="R162" s="415"/>
    </row>
    <row r="163" spans="1:18" ht="12.75" hidden="1" customHeight="1">
      <c r="A163" s="23"/>
      <c r="B163" s="23" t="s">
        <v>31</v>
      </c>
      <c r="C163" s="104">
        <v>0</v>
      </c>
      <c r="D163" s="119"/>
      <c r="E163" s="23" t="s">
        <v>31</v>
      </c>
      <c r="F163" s="57">
        <v>1</v>
      </c>
      <c r="G163" s="41">
        <v>4726.7</v>
      </c>
      <c r="H163" s="171">
        <f>F163*G163</f>
        <v>4726.7</v>
      </c>
      <c r="I163" s="105"/>
      <c r="J163" s="171" t="str">
        <f>+"#REF!-H159"</f>
        <v>#REF!-H159</v>
      </c>
      <c r="L163" s="23" t="s">
        <v>31</v>
      </c>
      <c r="M163" s="59">
        <v>0</v>
      </c>
      <c r="N163" s="176"/>
      <c r="O163" s="440" t="s">
        <v>151</v>
      </c>
      <c r="P163" s="440"/>
      <c r="Q163" s="440"/>
      <c r="R163" s="440"/>
    </row>
    <row r="164" spans="1:18" hidden="1">
      <c r="A164" s="52"/>
      <c r="B164" s="46"/>
      <c r="C164" s="172"/>
      <c r="D164" s="134"/>
      <c r="E164" s="46"/>
      <c r="F164" s="172"/>
      <c r="G164" s="173"/>
      <c r="H164" s="173"/>
      <c r="I164" s="134"/>
      <c r="J164" s="173"/>
      <c r="K164" s="14"/>
      <c r="L164" s="45"/>
      <c r="M164" s="130"/>
      <c r="N164" s="52"/>
    </row>
    <row r="165" spans="1:18" ht="12.75" hidden="1" customHeight="1">
      <c r="A165" s="415" t="s">
        <v>156</v>
      </c>
      <c r="B165" s="415"/>
      <c r="C165" s="415"/>
      <c r="D165" s="415"/>
      <c r="E165" s="415"/>
      <c r="F165" s="415"/>
      <c r="G165" s="415"/>
      <c r="H165" s="415"/>
      <c r="I165" s="415"/>
      <c r="J165" s="415"/>
      <c r="K165" s="415"/>
      <c r="L165" s="415"/>
      <c r="M165" s="415"/>
      <c r="N165" s="415"/>
      <c r="O165" s="415"/>
      <c r="P165" s="415"/>
      <c r="Q165" s="415"/>
      <c r="R165" s="415"/>
    </row>
    <row r="166" spans="1:18" ht="12.75" hidden="1" customHeight="1">
      <c r="A166" s="23"/>
      <c r="B166" s="23" t="s">
        <v>31</v>
      </c>
      <c r="C166" s="104">
        <v>0</v>
      </c>
      <c r="D166" s="119"/>
      <c r="E166" s="23" t="s">
        <v>31</v>
      </c>
      <c r="F166" s="57">
        <v>1</v>
      </c>
      <c r="G166" s="41">
        <v>4726.7</v>
      </c>
      <c r="H166" s="171">
        <f>F166*G166</f>
        <v>4726.7</v>
      </c>
      <c r="I166" s="105"/>
      <c r="J166" s="171" t="str">
        <f>+"#REF!-H162"</f>
        <v>#REF!-H162</v>
      </c>
      <c r="L166" s="23" t="s">
        <v>31</v>
      </c>
      <c r="M166" s="59">
        <v>0</v>
      </c>
      <c r="N166" s="176"/>
      <c r="O166" s="440" t="s">
        <v>151</v>
      </c>
      <c r="P166" s="440"/>
      <c r="Q166" s="440"/>
      <c r="R166" s="440"/>
    </row>
    <row r="167" spans="1:18" hidden="1">
      <c r="A167" s="52"/>
      <c r="B167" s="46"/>
      <c r="C167" s="172"/>
      <c r="D167" s="134"/>
      <c r="E167" s="46"/>
      <c r="F167" s="172"/>
      <c r="G167" s="173"/>
      <c r="H167" s="173"/>
      <c r="I167" s="134"/>
      <c r="J167" s="173"/>
      <c r="K167" s="14"/>
      <c r="L167" s="45"/>
      <c r="M167" s="130"/>
      <c r="N167" s="52"/>
    </row>
    <row r="168" spans="1:18" ht="12.75" hidden="1" customHeight="1">
      <c r="A168" s="415" t="s">
        <v>157</v>
      </c>
      <c r="B168" s="415"/>
      <c r="C168" s="415"/>
      <c r="D168" s="415"/>
      <c r="E168" s="415"/>
      <c r="F168" s="415"/>
      <c r="G168" s="415"/>
      <c r="H168" s="415"/>
      <c r="I168" s="415"/>
      <c r="J168" s="415"/>
      <c r="K168" s="415"/>
      <c r="L168" s="415"/>
      <c r="M168" s="415"/>
      <c r="N168" s="415"/>
      <c r="O168" s="415"/>
      <c r="P168" s="415"/>
      <c r="Q168" s="415"/>
      <c r="R168" s="415"/>
    </row>
    <row r="169" spans="1:18" ht="12.75" hidden="1" customHeight="1">
      <c r="A169" s="23"/>
      <c r="B169" s="23" t="s">
        <v>31</v>
      </c>
      <c r="C169" s="104">
        <v>0</v>
      </c>
      <c r="D169" s="119"/>
      <c r="E169" s="23" t="s">
        <v>31</v>
      </c>
      <c r="F169" s="57">
        <v>1</v>
      </c>
      <c r="G169" s="41">
        <v>4726.7</v>
      </c>
      <c r="H169" s="171">
        <f>F169*G169</f>
        <v>4726.7</v>
      </c>
      <c r="I169" s="105"/>
      <c r="J169" s="171" t="str">
        <f>+"#REF!-H165"</f>
        <v>#REF!-H165</v>
      </c>
      <c r="L169" s="23" t="s">
        <v>31</v>
      </c>
      <c r="M169" s="59">
        <v>0</v>
      </c>
      <c r="N169" s="22"/>
      <c r="O169" s="436" t="s">
        <v>151</v>
      </c>
      <c r="P169" s="436"/>
      <c r="Q169" s="436"/>
      <c r="R169" s="436"/>
    </row>
    <row r="170" spans="1:18">
      <c r="C170" s="138">
        <f>SUM(C12:C160)</f>
        <v>173</v>
      </c>
      <c r="F170" s="138">
        <f>SUM(F12:F169)</f>
        <v>72</v>
      </c>
      <c r="H170" s="220">
        <f>SUM(H12:H169)</f>
        <v>319680.49</v>
      </c>
      <c r="J170" s="220">
        <f>SUM(J12:J169)</f>
        <v>0</v>
      </c>
      <c r="L170" s="221"/>
      <c r="M170" s="138">
        <f>SUM(M12:M160)</f>
        <v>132</v>
      </c>
      <c r="N170" s="222"/>
      <c r="O170" s="223"/>
    </row>
    <row r="171" spans="1:18">
      <c r="C171" s="143"/>
      <c r="F171" s="143"/>
      <c r="H171" s="223"/>
      <c r="J171" s="223"/>
      <c r="L171" s="224"/>
      <c r="M171" s="143"/>
      <c r="N171" s="223"/>
      <c r="O171" s="223"/>
    </row>
    <row r="172" spans="1:18">
      <c r="C172" s="143"/>
      <c r="F172" s="143"/>
      <c r="H172" s="223"/>
      <c r="J172" s="223"/>
      <c r="L172" s="224"/>
      <c r="M172" s="143"/>
      <c r="N172" s="124" t="s">
        <v>99</v>
      </c>
      <c r="O172" s="124">
        <v>781</v>
      </c>
      <c r="P172" s="124">
        <v>954</v>
      </c>
    </row>
    <row r="173" spans="1:18">
      <c r="C173" s="143"/>
      <c r="F173" s="143"/>
      <c r="H173" s="223"/>
      <c r="J173" s="223"/>
      <c r="L173" s="221"/>
      <c r="M173" s="143"/>
      <c r="N173" s="225" t="s">
        <v>158</v>
      </c>
      <c r="O173" s="146">
        <f>+M170</f>
        <v>132</v>
      </c>
      <c r="P173" s="146">
        <v>173</v>
      </c>
      <c r="Q173" s="146">
        <f>+P173-O173</f>
        <v>41</v>
      </c>
    </row>
    <row r="174" spans="1:18">
      <c r="C174" s="143"/>
      <c r="F174" s="143"/>
      <c r="H174" s="223"/>
      <c r="J174" s="223"/>
      <c r="L174" s="224"/>
      <c r="M174" s="143"/>
      <c r="N174" s="124" t="s">
        <v>159</v>
      </c>
      <c r="O174" s="147">
        <f>+O173/O172</f>
        <v>0.16901408450704225</v>
      </c>
      <c r="P174" s="147">
        <f>+P173/P172</f>
        <v>0.18134171907756813</v>
      </c>
    </row>
    <row r="175" spans="1:18">
      <c r="C175" s="145"/>
      <c r="D175" s="145"/>
      <c r="E175" s="145"/>
      <c r="F175" s="145"/>
      <c r="M175" s="221"/>
    </row>
    <row r="176" spans="1:18">
      <c r="C176" s="145"/>
      <c r="D176" s="145"/>
      <c r="E176" s="145"/>
      <c r="F176" s="145"/>
      <c r="N176" s="435" t="s">
        <v>160</v>
      </c>
      <c r="O176" s="435"/>
      <c r="P176" s="435"/>
      <c r="Q176" s="435"/>
    </row>
    <row r="177" spans="1:17">
      <c r="A177" s="149" t="s">
        <v>161</v>
      </c>
      <c r="B177" s="126"/>
      <c r="C177" s="150"/>
      <c r="D177" s="34">
        <f>C170</f>
        <v>173</v>
      </c>
      <c r="E177" s="34">
        <f>+C170</f>
        <v>173</v>
      </c>
      <c r="F177" s="226"/>
      <c r="N177" s="148" t="s">
        <v>162</v>
      </c>
      <c r="O177" s="23" t="s">
        <v>163</v>
      </c>
      <c r="P177" s="227" t="s">
        <v>164</v>
      </c>
      <c r="Q177" s="23" t="s">
        <v>165</v>
      </c>
    </row>
    <row r="178" spans="1:17">
      <c r="A178" s="149" t="s">
        <v>103</v>
      </c>
      <c r="B178" s="126"/>
      <c r="C178" s="150"/>
      <c r="D178" s="34">
        <f>M170</f>
        <v>132</v>
      </c>
      <c r="E178" s="34">
        <f>+M170</f>
        <v>132</v>
      </c>
      <c r="F178" s="226"/>
      <c r="N178" s="148" t="s">
        <v>48</v>
      </c>
      <c r="O178" s="23" t="s">
        <v>28</v>
      </c>
      <c r="P178" s="23">
        <v>1</v>
      </c>
      <c r="Q178" s="23">
        <v>1</v>
      </c>
    </row>
    <row r="179" spans="1:17">
      <c r="A179" s="149"/>
      <c r="B179" s="126"/>
      <c r="C179" s="150"/>
      <c r="D179" s="34"/>
      <c r="E179" s="23">
        <f>+E177-E178</f>
        <v>41</v>
      </c>
      <c r="F179" s="226"/>
      <c r="N179" s="148" t="s">
        <v>166</v>
      </c>
      <c r="O179" s="23" t="s">
        <v>34</v>
      </c>
      <c r="P179" s="23">
        <v>1</v>
      </c>
      <c r="Q179" s="23">
        <v>2</v>
      </c>
    </row>
    <row r="180" spans="1:17">
      <c r="A180" s="153" t="s">
        <v>167</v>
      </c>
      <c r="B180" s="154"/>
      <c r="C180" s="155"/>
      <c r="D180" s="157">
        <f>D178-D177</f>
        <v>-41</v>
      </c>
      <c r="E180" s="228">
        <f>+E179/E177</f>
        <v>0.23699421965317918</v>
      </c>
      <c r="F180" s="226"/>
      <c r="N180" s="148" t="s">
        <v>133</v>
      </c>
      <c r="O180" s="23" t="s">
        <v>23</v>
      </c>
      <c r="P180" s="23">
        <v>28</v>
      </c>
      <c r="Q180" s="23">
        <v>22</v>
      </c>
    </row>
    <row r="181" spans="1:17">
      <c r="A181" s="149" t="s">
        <v>168</v>
      </c>
      <c r="B181" s="126"/>
      <c r="C181" s="150"/>
      <c r="D181" s="159">
        <f>D180/D177</f>
        <v>-0.23699421965317918</v>
      </c>
      <c r="E181" s="226"/>
      <c r="F181" s="226"/>
      <c r="N181" s="148" t="s">
        <v>68</v>
      </c>
      <c r="O181" s="23" t="s">
        <v>24</v>
      </c>
      <c r="P181" s="23">
        <v>0</v>
      </c>
      <c r="Q181" s="23">
        <v>1</v>
      </c>
    </row>
    <row r="182" spans="1:17">
      <c r="M182" s="229"/>
      <c r="N182" s="437" t="s">
        <v>169</v>
      </c>
      <c r="O182" s="437"/>
      <c r="P182" s="230">
        <f>SUM(P178:P181)</f>
        <v>30</v>
      </c>
      <c r="Q182" s="23">
        <f>SUM(Q178:Q181)</f>
        <v>26</v>
      </c>
    </row>
    <row r="183" spans="1:17">
      <c r="A183" s="134"/>
      <c r="B183" s="14"/>
      <c r="C183" s="45"/>
      <c r="D183" s="50"/>
      <c r="M183" s="229"/>
    </row>
    <row r="184" spans="1:17">
      <c r="A184" s="14"/>
      <c r="B184" s="14"/>
      <c r="C184" s="45"/>
      <c r="D184" s="50"/>
      <c r="M184" s="229"/>
      <c r="N184" s="435" t="s">
        <v>170</v>
      </c>
      <c r="O184" s="435"/>
      <c r="P184" s="435"/>
      <c r="Q184" s="435"/>
    </row>
    <row r="185" spans="1:17">
      <c r="A185" s="134"/>
      <c r="B185" s="14"/>
      <c r="C185" s="45"/>
      <c r="D185" s="231"/>
      <c r="N185" s="148" t="s">
        <v>162</v>
      </c>
      <c r="O185" s="23" t="s">
        <v>163</v>
      </c>
      <c r="P185" s="227" t="s">
        <v>164</v>
      </c>
      <c r="Q185" s="23" t="s">
        <v>165</v>
      </c>
    </row>
    <row r="186" spans="1:17">
      <c r="A186" s="438" t="s">
        <v>171</v>
      </c>
      <c r="B186" s="438"/>
      <c r="C186" s="438"/>
      <c r="D186" s="438"/>
      <c r="E186" s="438"/>
      <c r="F186" s="438"/>
      <c r="G186" s="438"/>
      <c r="H186" s="438"/>
      <c r="I186" s="438"/>
      <c r="J186" s="438"/>
      <c r="K186" s="438"/>
      <c r="L186" s="438"/>
      <c r="N186" s="148" t="s">
        <v>133</v>
      </c>
      <c r="O186" s="23" t="s">
        <v>23</v>
      </c>
      <c r="P186" s="23">
        <v>2</v>
      </c>
      <c r="Q186" s="23">
        <v>2</v>
      </c>
    </row>
    <row r="187" spans="1:17">
      <c r="A187" s="180" t="s">
        <v>172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233">
        <v>173</v>
      </c>
    </row>
    <row r="188" spans="1:17">
      <c r="A188" s="120" t="s">
        <v>173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4">
        <v>4</v>
      </c>
      <c r="N188" s="435" t="s">
        <v>174</v>
      </c>
      <c r="O188" s="435"/>
      <c r="P188" s="435"/>
      <c r="Q188" s="435"/>
    </row>
    <row r="189" spans="1:17">
      <c r="A189" s="120" t="s">
        <v>175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4">
        <v>1</v>
      </c>
      <c r="N189" s="148" t="s">
        <v>162</v>
      </c>
      <c r="O189" s="23" t="s">
        <v>163</v>
      </c>
      <c r="P189" s="227" t="s">
        <v>164</v>
      </c>
      <c r="Q189" s="23" t="s">
        <v>165</v>
      </c>
    </row>
    <row r="190" spans="1:17">
      <c r="A190" s="120" t="s">
        <v>176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234">
        <f>+L187+L188+L189</f>
        <v>178</v>
      </c>
      <c r="N190" s="148" t="s">
        <v>133</v>
      </c>
      <c r="O190" s="23" t="s">
        <v>23</v>
      </c>
      <c r="P190" s="23">
        <v>2</v>
      </c>
      <c r="Q190" s="23">
        <v>2</v>
      </c>
    </row>
    <row r="191" spans="1:17">
      <c r="A191" s="120" t="s">
        <v>177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4">
        <v>-3</v>
      </c>
    </row>
    <row r="192" spans="1:17">
      <c r="A192" s="120" t="s">
        <v>178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234">
        <f>+L190+L191</f>
        <v>175</v>
      </c>
    </row>
    <row r="193" spans="1:18">
      <c r="A193" s="120" t="s">
        <v>179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4">
        <v>-43</v>
      </c>
    </row>
    <row r="194" spans="1:18">
      <c r="A194" s="182" t="s">
        <v>180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235">
        <f>+L192+L193</f>
        <v>132</v>
      </c>
      <c r="P194" s="236"/>
      <c r="Q194" s="126"/>
      <c r="R194" s="237" t="s">
        <v>106</v>
      </c>
    </row>
  </sheetData>
  <sheetProtection selectLockedCells="1" selectUnlockedCells="1"/>
  <mergeCells count="62">
    <mergeCell ref="A4:R4"/>
    <mergeCell ref="A7:C7"/>
    <mergeCell ref="E7:H7"/>
    <mergeCell ref="J7:M7"/>
    <mergeCell ref="A8:C8"/>
    <mergeCell ref="E8:H8"/>
    <mergeCell ref="J8:M8"/>
    <mergeCell ref="A51:G51"/>
    <mergeCell ref="O9:R9"/>
    <mergeCell ref="A11:C11"/>
    <mergeCell ref="A16:G16"/>
    <mergeCell ref="A19:G19"/>
    <mergeCell ref="A23:G23"/>
    <mergeCell ref="A26:G26"/>
    <mergeCell ref="A33:G33"/>
    <mergeCell ref="O35:R36"/>
    <mergeCell ref="A38:G38"/>
    <mergeCell ref="O39:R40"/>
    <mergeCell ref="A44:G44"/>
    <mergeCell ref="O113:R113"/>
    <mergeCell ref="A56:G56"/>
    <mergeCell ref="A61:L61"/>
    <mergeCell ref="O63:R64"/>
    <mergeCell ref="A68:G68"/>
    <mergeCell ref="A75:G75"/>
    <mergeCell ref="A82:G82"/>
    <mergeCell ref="A89:G89"/>
    <mergeCell ref="A96:G96"/>
    <mergeCell ref="A103:C103"/>
    <mergeCell ref="A106:C106"/>
    <mergeCell ref="A112:R112"/>
    <mergeCell ref="A144:R144"/>
    <mergeCell ref="A119:R119"/>
    <mergeCell ref="A125:R125"/>
    <mergeCell ref="O126:R127"/>
    <mergeCell ref="O128:R128"/>
    <mergeCell ref="A130:R130"/>
    <mergeCell ref="O131:R131"/>
    <mergeCell ref="O132:R133"/>
    <mergeCell ref="A134:F134"/>
    <mergeCell ref="A139:R139"/>
    <mergeCell ref="O140:R140"/>
    <mergeCell ref="O141:R142"/>
    <mergeCell ref="O166:R166"/>
    <mergeCell ref="O145:R145"/>
    <mergeCell ref="A147:R147"/>
    <mergeCell ref="O148:R148"/>
    <mergeCell ref="O149:R151"/>
    <mergeCell ref="A153:R153"/>
    <mergeCell ref="O154:R154"/>
    <mergeCell ref="O156:R157"/>
    <mergeCell ref="A159:R159"/>
    <mergeCell ref="A162:R162"/>
    <mergeCell ref="O163:R163"/>
    <mergeCell ref="A165:R165"/>
    <mergeCell ref="N188:Q188"/>
    <mergeCell ref="A168:R168"/>
    <mergeCell ref="O169:R169"/>
    <mergeCell ref="N176:Q176"/>
    <mergeCell ref="N182:O182"/>
    <mergeCell ref="N184:Q184"/>
    <mergeCell ref="A186:L186"/>
  </mergeCells>
  <printOptions horizontalCentered="1" verticalCentered="1"/>
  <pageMargins left="0.39374999999999999" right="0.39374999999999999" top="0.78749999999999998" bottom="0.39375000000000004" header="0.51180555555555551" footer="0.11805555555555555"/>
  <pageSetup paperSize="9" scale="74" firstPageNumber="0" orientation="landscape" horizontalDpi="300" verticalDpi="300" r:id="rId1"/>
  <headerFooter alignWithMargins="0">
    <oddFooter>&amp;C&amp;"Calibri,Regular"&amp;11&amp;P</oddFooter>
  </headerFooter>
  <rowBreaks count="4" manualBreakCount="4">
    <brk id="42" max="16383" man="1"/>
    <brk id="73" max="16383" man="1"/>
    <brk id="110" max="16383" man="1"/>
    <brk id="15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14"/>
  <sheetViews>
    <sheetView view="pageBreakPreview" zoomScaleSheetLayoutView="100" workbookViewId="0"/>
  </sheetViews>
  <sheetFormatPr defaultColWidth="9.42578125" defaultRowHeight="15"/>
  <cols>
    <col min="1" max="1" width="18.5703125" style="1" customWidth="1"/>
    <col min="2" max="2" width="9.5703125" style="1" customWidth="1"/>
    <col min="3" max="3" width="12.28515625" style="1" customWidth="1"/>
    <col min="4" max="4" width="12.85546875" style="1" customWidth="1"/>
    <col min="5" max="5" width="4.42578125" style="1" customWidth="1"/>
    <col min="6" max="6" width="19" style="1" customWidth="1"/>
    <col min="7" max="7" width="9.5703125" style="1" customWidth="1"/>
    <col min="8" max="8" width="12" style="1" customWidth="1"/>
    <col min="9" max="9" width="24.140625" style="1" customWidth="1"/>
    <col min="10" max="10" width="4" style="1" customWidth="1"/>
    <col min="11" max="11" width="20.28515625" style="1" customWidth="1"/>
    <col min="12" max="12" width="9.42578125" style="1"/>
    <col min="13" max="13" width="9.7109375" style="1" customWidth="1"/>
    <col min="14" max="16384" width="9.42578125" style="1"/>
  </cols>
  <sheetData>
    <row r="1" spans="1:11" ht="21">
      <c r="A1" s="2" t="s">
        <v>0</v>
      </c>
    </row>
    <row r="2" spans="1:11" ht="21">
      <c r="A2" s="2"/>
    </row>
    <row r="3" spans="1:11" ht="21">
      <c r="A3" s="2"/>
    </row>
    <row r="4" spans="1:11" ht="21">
      <c r="A4" s="428" t="s">
        <v>181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</row>
    <row r="6" spans="1:11" ht="21">
      <c r="A6" s="428" t="s">
        <v>182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</row>
    <row r="8" spans="1:11" ht="21">
      <c r="A8" s="428" t="s">
        <v>183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</row>
    <row r="10" spans="1:11" ht="14.85" customHeight="1">
      <c r="A10" s="433" t="s">
        <v>4</v>
      </c>
      <c r="B10" s="433"/>
      <c r="C10" s="433"/>
      <c r="D10" s="433"/>
      <c r="F10" s="433" t="s">
        <v>8</v>
      </c>
      <c r="G10" s="433"/>
      <c r="H10" s="433"/>
      <c r="I10" s="433"/>
      <c r="K10" s="455" t="s">
        <v>184</v>
      </c>
    </row>
    <row r="11" spans="1:11" ht="49.5" customHeight="1">
      <c r="A11" s="238" t="s">
        <v>185</v>
      </c>
      <c r="B11" s="164" t="s">
        <v>186</v>
      </c>
      <c r="C11" s="164" t="s">
        <v>13</v>
      </c>
      <c r="D11" s="164" t="s">
        <v>14</v>
      </c>
      <c r="F11" s="238" t="s">
        <v>185</v>
      </c>
      <c r="G11" s="164" t="s">
        <v>186</v>
      </c>
      <c r="H11" s="164" t="s">
        <v>13</v>
      </c>
      <c r="I11" s="164" t="s">
        <v>14</v>
      </c>
      <c r="K11" s="455"/>
    </row>
    <row r="12" spans="1:11">
      <c r="A12" s="23" t="s">
        <v>28</v>
      </c>
      <c r="B12" s="34">
        <v>2</v>
      </c>
      <c r="C12" s="80">
        <v>10352.52</v>
      </c>
      <c r="D12" s="80">
        <f>B12*C12</f>
        <v>20705.04</v>
      </c>
      <c r="F12" s="23" t="s">
        <v>28</v>
      </c>
      <c r="G12" s="34">
        <v>2</v>
      </c>
      <c r="H12" s="80">
        <v>10352.52</v>
      </c>
      <c r="I12" s="80">
        <f>G12*H12</f>
        <v>20705.04</v>
      </c>
      <c r="K12" s="80">
        <f t="shared" ref="K12:K17" si="0">D12-I12</f>
        <v>0</v>
      </c>
    </row>
    <row r="13" spans="1:11">
      <c r="A13" s="23" t="s">
        <v>31</v>
      </c>
      <c r="B13" s="34">
        <v>2</v>
      </c>
      <c r="C13" s="80">
        <v>4726.7</v>
      </c>
      <c r="D13" s="80">
        <f>B13*C13</f>
        <v>9453.4</v>
      </c>
      <c r="F13" s="23" t="s">
        <v>31</v>
      </c>
      <c r="G13" s="34">
        <v>0</v>
      </c>
      <c r="H13" s="80">
        <v>4726.7</v>
      </c>
      <c r="I13" s="80">
        <f>G13*H13</f>
        <v>0</v>
      </c>
      <c r="K13" s="80">
        <f t="shared" si="0"/>
        <v>9453.4</v>
      </c>
    </row>
    <row r="14" spans="1:11">
      <c r="A14" s="23" t="s">
        <v>34</v>
      </c>
      <c r="B14" s="34">
        <v>1</v>
      </c>
      <c r="C14" s="80">
        <v>3434.43</v>
      </c>
      <c r="D14" s="80">
        <f>B14*C14</f>
        <v>3434.43</v>
      </c>
      <c r="F14" s="23" t="s">
        <v>34</v>
      </c>
      <c r="G14" s="34">
        <v>6</v>
      </c>
      <c r="H14" s="80">
        <v>3434.43</v>
      </c>
      <c r="I14" s="80">
        <f>G14*H14</f>
        <v>20606.579999999998</v>
      </c>
      <c r="K14" s="80">
        <f t="shared" si="0"/>
        <v>-17172.149999999998</v>
      </c>
    </row>
    <row r="15" spans="1:11">
      <c r="A15" s="23" t="s">
        <v>24</v>
      </c>
      <c r="B15" s="34">
        <v>3</v>
      </c>
      <c r="C15" s="80">
        <v>2121.65</v>
      </c>
      <c r="D15" s="80">
        <f>B15*C15</f>
        <v>6364.9500000000007</v>
      </c>
      <c r="F15" s="23" t="s">
        <v>24</v>
      </c>
      <c r="G15" s="34">
        <v>2</v>
      </c>
      <c r="H15" s="80">
        <v>2121.65</v>
      </c>
      <c r="I15" s="80">
        <f>G15*H15</f>
        <v>4243.3</v>
      </c>
      <c r="K15" s="80">
        <f t="shared" si="0"/>
        <v>2121.6500000000005</v>
      </c>
    </row>
    <row r="16" spans="1:11">
      <c r="A16" s="23" t="s">
        <v>45</v>
      </c>
      <c r="B16" s="34">
        <v>2</v>
      </c>
      <c r="C16" s="80">
        <v>1567.95</v>
      </c>
      <c r="D16" s="80">
        <f>B16*C16</f>
        <v>3135.9</v>
      </c>
      <c r="F16" s="23" t="s">
        <v>45</v>
      </c>
      <c r="G16" s="34">
        <v>0</v>
      </c>
      <c r="H16" s="80">
        <v>1567.95</v>
      </c>
      <c r="I16" s="80">
        <f>G16*H16</f>
        <v>0</v>
      </c>
      <c r="K16" s="80">
        <f t="shared" si="0"/>
        <v>3135.9</v>
      </c>
    </row>
    <row r="17" spans="1:21">
      <c r="A17" s="239" t="s">
        <v>169</v>
      </c>
      <c r="B17" s="240">
        <f>SUM(B12:B16)</f>
        <v>10</v>
      </c>
      <c r="C17" s="241"/>
      <c r="D17" s="241">
        <f>SUM(D12:D16)</f>
        <v>43093.720000000008</v>
      </c>
      <c r="E17" s="163"/>
      <c r="F17" s="239" t="s">
        <v>169</v>
      </c>
      <c r="G17" s="240">
        <f>SUM(G12:G16)</f>
        <v>10</v>
      </c>
      <c r="H17" s="241"/>
      <c r="I17" s="241">
        <f>SUM(I12:I16)</f>
        <v>45554.92</v>
      </c>
      <c r="J17" s="163"/>
      <c r="K17" s="241">
        <f t="shared" si="0"/>
        <v>-2461.1999999999898</v>
      </c>
      <c r="M17" s="139"/>
    </row>
    <row r="18" spans="1:21">
      <c r="A18" s="145"/>
      <c r="B18" s="139"/>
    </row>
    <row r="19" spans="1:21">
      <c r="A19" s="452" t="s">
        <v>187</v>
      </c>
      <c r="B19" s="452"/>
      <c r="C19" s="452"/>
      <c r="D19" s="124">
        <v>17</v>
      </c>
      <c r="F19" s="176" t="s">
        <v>188</v>
      </c>
      <c r="G19" s="124"/>
      <c r="H19" s="124"/>
      <c r="I19" s="124">
        <v>17</v>
      </c>
      <c r="K19" s="23" t="s">
        <v>189</v>
      </c>
    </row>
    <row r="21" spans="1:21">
      <c r="A21" s="453" t="s">
        <v>190</v>
      </c>
      <c r="B21" s="453"/>
      <c r="C21" s="453"/>
      <c r="D21" s="241">
        <f>D17*D19</f>
        <v>732593.24000000011</v>
      </c>
      <c r="F21" s="453" t="s">
        <v>190</v>
      </c>
      <c r="G21" s="453"/>
      <c r="H21" s="453"/>
      <c r="I21" s="241">
        <f>I17*I19</f>
        <v>774433.64</v>
      </c>
      <c r="K21" s="241">
        <f>D21-I21</f>
        <v>-41840.399999999907</v>
      </c>
      <c r="L21" s="139"/>
    </row>
    <row r="23" spans="1:21" ht="21">
      <c r="A23" s="428" t="s">
        <v>191</v>
      </c>
      <c r="B23" s="428"/>
      <c r="C23" s="428"/>
      <c r="D23" s="428"/>
      <c r="E23" s="428"/>
      <c r="F23" s="428"/>
      <c r="G23" s="428"/>
      <c r="H23" s="428"/>
      <c r="I23" s="428"/>
      <c r="J23" s="428"/>
      <c r="K23" s="428"/>
    </row>
    <row r="25" spans="1:21" ht="14.85" customHeight="1">
      <c r="A25" s="433" t="s">
        <v>4</v>
      </c>
      <c r="B25" s="433"/>
      <c r="C25" s="433"/>
      <c r="D25" s="433"/>
      <c r="F25" s="433" t="s">
        <v>8</v>
      </c>
      <c r="G25" s="433"/>
      <c r="H25" s="433"/>
      <c r="I25" s="433"/>
      <c r="K25" s="455" t="s">
        <v>184</v>
      </c>
    </row>
    <row r="26" spans="1:21" ht="45">
      <c r="A26" s="238" t="s">
        <v>185</v>
      </c>
      <c r="B26" s="164" t="s">
        <v>186</v>
      </c>
      <c r="C26" s="164" t="s">
        <v>13</v>
      </c>
      <c r="D26" s="164" t="s">
        <v>14</v>
      </c>
      <c r="F26" s="238" t="s">
        <v>185</v>
      </c>
      <c r="G26" s="164" t="s">
        <v>186</v>
      </c>
      <c r="H26" s="164" t="s">
        <v>13</v>
      </c>
      <c r="I26" s="164" t="s">
        <v>14</v>
      </c>
      <c r="K26" s="455"/>
    </row>
    <row r="27" spans="1:21">
      <c r="A27" s="23" t="s">
        <v>28</v>
      </c>
      <c r="B27" s="34">
        <v>1</v>
      </c>
      <c r="C27" s="80">
        <v>10352.52</v>
      </c>
      <c r="D27" s="80">
        <f t="shared" ref="D27:D33" si="1">B27*C27</f>
        <v>10352.52</v>
      </c>
      <c r="F27" s="23" t="s">
        <v>28</v>
      </c>
      <c r="G27" s="34">
        <v>1</v>
      </c>
      <c r="H27" s="80">
        <v>10352.52</v>
      </c>
      <c r="I27" s="80">
        <f t="shared" ref="I27:I33" si="2">G27*H27</f>
        <v>10352.52</v>
      </c>
      <c r="K27" s="80">
        <f>D27-I27</f>
        <v>0</v>
      </c>
      <c r="T27" s="239"/>
      <c r="U27" s="239"/>
    </row>
    <row r="28" spans="1:21">
      <c r="A28" s="23" t="s">
        <v>31</v>
      </c>
      <c r="B28" s="34">
        <v>2</v>
      </c>
      <c r="C28" s="80">
        <v>4726.7</v>
      </c>
      <c r="D28" s="80">
        <f t="shared" si="1"/>
        <v>9453.4</v>
      </c>
      <c r="F28" s="23" t="s">
        <v>31</v>
      </c>
      <c r="G28" s="34">
        <v>0</v>
      </c>
      <c r="H28" s="80">
        <v>4726.7</v>
      </c>
      <c r="I28" s="80">
        <f t="shared" si="2"/>
        <v>0</v>
      </c>
      <c r="K28" s="80">
        <f>D28-I28</f>
        <v>9453.4</v>
      </c>
      <c r="T28" s="239"/>
      <c r="U28" s="239"/>
    </row>
    <row r="29" spans="1:21">
      <c r="A29" s="23" t="s">
        <v>34</v>
      </c>
      <c r="B29" s="34">
        <v>1</v>
      </c>
      <c r="C29" s="80">
        <v>3434.43</v>
      </c>
      <c r="D29" s="80">
        <f t="shared" si="1"/>
        <v>3434.43</v>
      </c>
      <c r="F29" s="23" t="s">
        <v>34</v>
      </c>
      <c r="G29" s="34">
        <v>3</v>
      </c>
      <c r="H29" s="80">
        <v>3434.43</v>
      </c>
      <c r="I29" s="80">
        <f t="shared" si="2"/>
        <v>10303.289999999999</v>
      </c>
      <c r="K29" s="80">
        <f>D29-I29</f>
        <v>-6868.8599999999988</v>
      </c>
      <c r="T29" s="239"/>
      <c r="U29" s="239"/>
    </row>
    <row r="30" spans="1:21">
      <c r="A30" s="23" t="s">
        <v>23</v>
      </c>
      <c r="B30" s="34">
        <v>1</v>
      </c>
      <c r="C30" s="80">
        <v>2984.45</v>
      </c>
      <c r="D30" s="80">
        <f t="shared" si="1"/>
        <v>2984.45</v>
      </c>
      <c r="F30" s="23" t="s">
        <v>23</v>
      </c>
      <c r="G30" s="34">
        <v>4</v>
      </c>
      <c r="H30" s="80">
        <v>2984.45</v>
      </c>
      <c r="I30" s="80">
        <f t="shared" si="2"/>
        <v>11937.8</v>
      </c>
      <c r="K30" s="80"/>
      <c r="T30" s="239"/>
      <c r="U30" s="239"/>
    </row>
    <row r="31" spans="1:21">
      <c r="A31" s="23" t="s">
        <v>24</v>
      </c>
      <c r="B31" s="34">
        <v>6</v>
      </c>
      <c r="C31" s="80">
        <v>2121.65</v>
      </c>
      <c r="D31" s="80">
        <f t="shared" si="1"/>
        <v>12729.900000000001</v>
      </c>
      <c r="F31" s="23" t="s">
        <v>24</v>
      </c>
      <c r="G31" s="34">
        <v>0</v>
      </c>
      <c r="H31" s="80">
        <v>2121.65</v>
      </c>
      <c r="I31" s="80">
        <f t="shared" si="2"/>
        <v>0</v>
      </c>
      <c r="K31" s="80">
        <f>D31-I31</f>
        <v>12729.900000000001</v>
      </c>
      <c r="T31" s="239"/>
      <c r="U31" s="239"/>
    </row>
    <row r="32" spans="1:21">
      <c r="A32" s="23" t="s">
        <v>22</v>
      </c>
      <c r="B32" s="34">
        <v>0</v>
      </c>
      <c r="C32" s="80">
        <v>1823.15</v>
      </c>
      <c r="D32" s="80">
        <f t="shared" si="1"/>
        <v>0</v>
      </c>
      <c r="F32" s="23" t="s">
        <v>22</v>
      </c>
      <c r="G32" s="34">
        <v>2</v>
      </c>
      <c r="H32" s="80">
        <v>1823.15</v>
      </c>
      <c r="I32" s="80">
        <f t="shared" si="2"/>
        <v>3646.3</v>
      </c>
      <c r="K32" s="80"/>
      <c r="T32" s="239"/>
      <c r="U32" s="239"/>
    </row>
    <row r="33" spans="1:21">
      <c r="A33" s="23" t="s">
        <v>45</v>
      </c>
      <c r="B33" s="34">
        <v>3</v>
      </c>
      <c r="C33" s="80">
        <v>1567.95</v>
      </c>
      <c r="D33" s="80">
        <f t="shared" si="1"/>
        <v>4703.8500000000004</v>
      </c>
      <c r="F33" s="23" t="s">
        <v>45</v>
      </c>
      <c r="G33" s="34">
        <v>0</v>
      </c>
      <c r="H33" s="80">
        <v>1567.95</v>
      </c>
      <c r="I33" s="80">
        <f t="shared" si="2"/>
        <v>0</v>
      </c>
      <c r="K33" s="80">
        <f>D33-I33</f>
        <v>4703.8500000000004</v>
      </c>
      <c r="T33" s="239"/>
      <c r="U33" s="239"/>
    </row>
    <row r="34" spans="1:21">
      <c r="A34" s="239" t="s">
        <v>169</v>
      </c>
      <c r="B34" s="240">
        <f>SUM(B27:B33)</f>
        <v>14</v>
      </c>
      <c r="C34" s="241"/>
      <c r="D34" s="241">
        <f>SUM(D27:D33)</f>
        <v>43658.549999999996</v>
      </c>
      <c r="E34" s="163"/>
      <c r="F34" s="239" t="s">
        <v>169</v>
      </c>
      <c r="G34" s="240">
        <f>SUM(G27:G33)</f>
        <v>10</v>
      </c>
      <c r="H34" s="241"/>
      <c r="I34" s="241">
        <f>SUM(I27:I33)</f>
        <v>36239.909999999996</v>
      </c>
      <c r="J34" s="163"/>
      <c r="K34" s="241">
        <f>D34-I34</f>
        <v>7418.6399999999994</v>
      </c>
      <c r="T34" s="239"/>
      <c r="U34" s="239"/>
    </row>
    <row r="35" spans="1:21">
      <c r="A35" s="145"/>
      <c r="B35" s="139"/>
    </row>
    <row r="36" spans="1:21">
      <c r="A36" s="452" t="s">
        <v>192</v>
      </c>
      <c r="B36" s="452"/>
      <c r="C36" s="452"/>
      <c r="D36" s="124">
        <v>24</v>
      </c>
      <c r="F36" s="452" t="s">
        <v>192</v>
      </c>
      <c r="G36" s="452"/>
      <c r="H36" s="452"/>
      <c r="I36" s="124">
        <v>25</v>
      </c>
      <c r="K36" s="23" t="s">
        <v>189</v>
      </c>
    </row>
    <row r="38" spans="1:21">
      <c r="A38" s="453" t="s">
        <v>190</v>
      </c>
      <c r="B38" s="453"/>
      <c r="C38" s="453"/>
      <c r="D38" s="241">
        <f>D34*D36</f>
        <v>1047805.2</v>
      </c>
      <c r="F38" s="453" t="s">
        <v>190</v>
      </c>
      <c r="G38" s="453"/>
      <c r="H38" s="453"/>
      <c r="I38" s="241">
        <f>I34*I36</f>
        <v>905997.74999999988</v>
      </c>
      <c r="K38" s="241">
        <f>D38-I38</f>
        <v>141807.45000000007</v>
      </c>
    </row>
    <row r="40" spans="1:21">
      <c r="A40" s="243" t="s">
        <v>193</v>
      </c>
      <c r="B40" s="244"/>
      <c r="C40" s="127"/>
    </row>
    <row r="41" spans="1:21" ht="21">
      <c r="A41" s="2" t="s">
        <v>0</v>
      </c>
    </row>
    <row r="42" spans="1:21" ht="10.5" customHeight="1"/>
    <row r="43" spans="1:21" ht="21">
      <c r="A43" s="428" t="s">
        <v>194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</row>
    <row r="44" spans="1:21" ht="7.5" customHeight="1"/>
    <row r="45" spans="1:21" ht="21">
      <c r="A45" s="428" t="s">
        <v>182</v>
      </c>
      <c r="B45" s="428"/>
      <c r="C45" s="428"/>
      <c r="D45" s="428"/>
      <c r="E45" s="428"/>
      <c r="F45" s="428"/>
      <c r="G45" s="428"/>
      <c r="H45" s="428"/>
      <c r="I45" s="428"/>
      <c r="J45" s="428"/>
      <c r="K45" s="428"/>
    </row>
    <row r="46" spans="1:21" ht="9.75" customHeight="1"/>
    <row r="47" spans="1:21" ht="21">
      <c r="A47" s="428" t="s">
        <v>195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spans="1:21" ht="8.25" customHeight="1"/>
    <row r="49" spans="1:11" ht="14.85" customHeight="1">
      <c r="A49" s="433" t="s">
        <v>4</v>
      </c>
      <c r="B49" s="433"/>
      <c r="C49" s="433"/>
      <c r="D49" s="433"/>
      <c r="F49" s="433" t="s">
        <v>8</v>
      </c>
      <c r="G49" s="433"/>
      <c r="H49" s="433"/>
      <c r="I49" s="433"/>
      <c r="K49" s="455" t="s">
        <v>184</v>
      </c>
    </row>
    <row r="50" spans="1:11" ht="48.75" customHeight="1">
      <c r="A50" s="238" t="s">
        <v>185</v>
      </c>
      <c r="B50" s="164" t="s">
        <v>186</v>
      </c>
      <c r="C50" s="164" t="s">
        <v>13</v>
      </c>
      <c r="D50" s="164" t="s">
        <v>14</v>
      </c>
      <c r="F50" s="238" t="s">
        <v>185</v>
      </c>
      <c r="G50" s="164" t="s">
        <v>186</v>
      </c>
      <c r="H50" s="164" t="s">
        <v>13</v>
      </c>
      <c r="I50" s="164" t="s">
        <v>14</v>
      </c>
      <c r="K50" s="455"/>
    </row>
    <row r="51" spans="1:11">
      <c r="A51" s="23" t="s">
        <v>28</v>
      </c>
      <c r="B51" s="34">
        <v>1</v>
      </c>
      <c r="C51" s="80">
        <v>10352.52</v>
      </c>
      <c r="D51" s="80">
        <f t="shared" ref="D51:D57" si="3">B51*C51</f>
        <v>10352.52</v>
      </c>
      <c r="F51" s="23" t="s">
        <v>28</v>
      </c>
      <c r="G51" s="34">
        <v>1</v>
      </c>
      <c r="H51" s="80">
        <v>10352.52</v>
      </c>
      <c r="I51" s="80">
        <f t="shared" ref="I51:I57" si="4">G51*H51</f>
        <v>10352.52</v>
      </c>
      <c r="K51" s="80">
        <f>D51-I51</f>
        <v>0</v>
      </c>
    </row>
    <row r="52" spans="1:11">
      <c r="A52" s="23" t="s">
        <v>31</v>
      </c>
      <c r="B52" s="34">
        <v>2</v>
      </c>
      <c r="C52" s="80">
        <v>4726.7</v>
      </c>
      <c r="D52" s="80">
        <f t="shared" si="3"/>
        <v>9453.4</v>
      </c>
      <c r="F52" s="23" t="s">
        <v>31</v>
      </c>
      <c r="G52" s="34">
        <v>0</v>
      </c>
      <c r="H52" s="80">
        <v>4726.7</v>
      </c>
      <c r="I52" s="80">
        <f t="shared" si="4"/>
        <v>0</v>
      </c>
      <c r="K52" s="80">
        <f>D52-I52</f>
        <v>9453.4</v>
      </c>
    </row>
    <row r="53" spans="1:11">
      <c r="A53" s="23" t="s">
        <v>34</v>
      </c>
      <c r="B53" s="34">
        <v>1</v>
      </c>
      <c r="C53" s="80">
        <v>3434.43</v>
      </c>
      <c r="D53" s="80">
        <f t="shared" si="3"/>
        <v>3434.43</v>
      </c>
      <c r="F53" s="23" t="s">
        <v>34</v>
      </c>
      <c r="G53" s="34">
        <v>3</v>
      </c>
      <c r="H53" s="80">
        <v>3434.43</v>
      </c>
      <c r="I53" s="80">
        <f t="shared" si="4"/>
        <v>10303.289999999999</v>
      </c>
      <c r="K53" s="80">
        <f>D53-I53</f>
        <v>-6868.8599999999988</v>
      </c>
    </row>
    <row r="54" spans="1:11">
      <c r="A54" s="23" t="s">
        <v>23</v>
      </c>
      <c r="B54" s="34">
        <v>1</v>
      </c>
      <c r="C54" s="80">
        <v>2984.45</v>
      </c>
      <c r="D54" s="80">
        <f t="shared" si="3"/>
        <v>2984.45</v>
      </c>
      <c r="F54" s="23" t="s">
        <v>23</v>
      </c>
      <c r="G54" s="34">
        <v>4</v>
      </c>
      <c r="H54" s="80">
        <v>2984.45</v>
      </c>
      <c r="I54" s="80">
        <f t="shared" si="4"/>
        <v>11937.8</v>
      </c>
      <c r="K54" s="80"/>
    </row>
    <row r="55" spans="1:11">
      <c r="A55" s="23" t="s">
        <v>24</v>
      </c>
      <c r="B55" s="34">
        <v>6</v>
      </c>
      <c r="C55" s="80">
        <v>2121.65</v>
      </c>
      <c r="D55" s="80">
        <f t="shared" si="3"/>
        <v>12729.900000000001</v>
      </c>
      <c r="F55" s="23" t="s">
        <v>24</v>
      </c>
      <c r="G55" s="34">
        <v>0</v>
      </c>
      <c r="H55" s="80">
        <v>2121.65</v>
      </c>
      <c r="I55" s="80">
        <f t="shared" si="4"/>
        <v>0</v>
      </c>
      <c r="K55" s="80">
        <f>D55-I55</f>
        <v>12729.900000000001</v>
      </c>
    </row>
    <row r="56" spans="1:11">
      <c r="A56" s="23" t="s">
        <v>22</v>
      </c>
      <c r="B56" s="34">
        <v>0</v>
      </c>
      <c r="C56" s="80">
        <v>1823.15</v>
      </c>
      <c r="D56" s="80">
        <f t="shared" si="3"/>
        <v>0</v>
      </c>
      <c r="F56" s="23" t="s">
        <v>22</v>
      </c>
      <c r="G56" s="34">
        <v>1</v>
      </c>
      <c r="H56" s="80">
        <v>1823.15</v>
      </c>
      <c r="I56" s="80">
        <f t="shared" si="4"/>
        <v>1823.15</v>
      </c>
      <c r="K56" s="80"/>
    </row>
    <row r="57" spans="1:11">
      <c r="A57" s="23" t="s">
        <v>45</v>
      </c>
      <c r="B57" s="34">
        <v>3</v>
      </c>
      <c r="C57" s="80">
        <v>1567.95</v>
      </c>
      <c r="D57" s="80">
        <f t="shared" si="3"/>
        <v>4703.8500000000004</v>
      </c>
      <c r="F57" s="23" t="s">
        <v>45</v>
      </c>
      <c r="G57" s="34">
        <v>0</v>
      </c>
      <c r="H57" s="80">
        <v>1567.95</v>
      </c>
      <c r="I57" s="80">
        <f t="shared" si="4"/>
        <v>0</v>
      </c>
      <c r="K57" s="80">
        <f>D57-I57</f>
        <v>4703.8500000000004</v>
      </c>
    </row>
    <row r="58" spans="1:11">
      <c r="A58" s="239" t="s">
        <v>169</v>
      </c>
      <c r="B58" s="240">
        <f>SUM(B51:B57)</f>
        <v>14</v>
      </c>
      <c r="C58" s="241"/>
      <c r="D58" s="241">
        <f>SUM(D51:D57)</f>
        <v>43658.549999999996</v>
      </c>
      <c r="E58" s="163"/>
      <c r="F58" s="239" t="s">
        <v>169</v>
      </c>
      <c r="G58" s="240">
        <f>SUM(G51:G57)</f>
        <v>9</v>
      </c>
      <c r="H58" s="241"/>
      <c r="I58" s="241">
        <f>SUM(I51:I57)</f>
        <v>34416.759999999995</v>
      </c>
      <c r="J58" s="163"/>
      <c r="K58" s="241">
        <f>D58-I58</f>
        <v>9241.7900000000009</v>
      </c>
    </row>
    <row r="59" spans="1:11" ht="9.75" customHeight="1">
      <c r="A59" s="145"/>
      <c r="B59" s="139"/>
    </row>
    <row r="60" spans="1:11">
      <c r="A60" s="452" t="s">
        <v>192</v>
      </c>
      <c r="B60" s="452"/>
      <c r="C60" s="452"/>
      <c r="D60" s="124">
        <v>5</v>
      </c>
      <c r="F60" s="452" t="s">
        <v>192</v>
      </c>
      <c r="G60" s="452"/>
      <c r="H60" s="452"/>
      <c r="I60" s="124">
        <v>7</v>
      </c>
      <c r="K60" s="23" t="s">
        <v>189</v>
      </c>
    </row>
    <row r="61" spans="1:11" ht="9.75" customHeight="1"/>
    <row r="62" spans="1:11">
      <c r="A62" s="453" t="s">
        <v>190</v>
      </c>
      <c r="B62" s="453"/>
      <c r="C62" s="453"/>
      <c r="D62" s="241">
        <f>D58*D60</f>
        <v>218292.74999999997</v>
      </c>
      <c r="F62" s="453" t="s">
        <v>190</v>
      </c>
      <c r="G62" s="453"/>
      <c r="H62" s="453"/>
      <c r="I62" s="241">
        <f>I58*I60</f>
        <v>240917.31999999995</v>
      </c>
      <c r="K62" s="241">
        <f>D62-I62</f>
        <v>-22624.569999999978</v>
      </c>
    </row>
    <row r="63" spans="1:11" ht="9" customHeight="1"/>
    <row r="64" spans="1:11" ht="21">
      <c r="A64" s="428" t="s">
        <v>196</v>
      </c>
      <c r="B64" s="428"/>
      <c r="C64" s="428"/>
      <c r="D64" s="428"/>
      <c r="E64" s="428"/>
      <c r="F64" s="428"/>
      <c r="G64" s="428"/>
      <c r="H64" s="428"/>
      <c r="I64" s="428"/>
      <c r="J64" s="428"/>
      <c r="K64" s="428"/>
    </row>
    <row r="65" spans="1:11" ht="6.75" customHeight="1"/>
    <row r="66" spans="1:11" ht="14.85" customHeight="1">
      <c r="A66" s="433" t="s">
        <v>4</v>
      </c>
      <c r="B66" s="433"/>
      <c r="C66" s="433"/>
      <c r="D66" s="433"/>
      <c r="F66" s="433" t="s">
        <v>8</v>
      </c>
      <c r="G66" s="433"/>
      <c r="H66" s="433"/>
      <c r="I66" s="433"/>
      <c r="K66" s="455" t="s">
        <v>184</v>
      </c>
    </row>
    <row r="67" spans="1:11" ht="50.25" customHeight="1">
      <c r="A67" s="238" t="s">
        <v>185</v>
      </c>
      <c r="B67" s="164" t="s">
        <v>186</v>
      </c>
      <c r="C67" s="164" t="s">
        <v>13</v>
      </c>
      <c r="D67" s="164" t="s">
        <v>14</v>
      </c>
      <c r="F67" s="238" t="s">
        <v>185</v>
      </c>
      <c r="G67" s="164" t="s">
        <v>186</v>
      </c>
      <c r="H67" s="164" t="s">
        <v>13</v>
      </c>
      <c r="I67" s="164" t="s">
        <v>14</v>
      </c>
      <c r="K67" s="455"/>
    </row>
    <row r="68" spans="1:11">
      <c r="A68" s="23" t="s">
        <v>28</v>
      </c>
      <c r="B68" s="34">
        <v>1</v>
      </c>
      <c r="C68" s="80">
        <v>10352.52</v>
      </c>
      <c r="D68" s="80">
        <f t="shared" ref="D68:D74" si="5">B68*C68</f>
        <v>10352.52</v>
      </c>
      <c r="F68" s="23" t="s">
        <v>28</v>
      </c>
      <c r="G68" s="34">
        <v>1</v>
      </c>
      <c r="H68" s="80">
        <v>10352.52</v>
      </c>
      <c r="I68" s="80">
        <f t="shared" ref="I68:I74" si="6">G68*H68</f>
        <v>10352.52</v>
      </c>
      <c r="K68" s="80">
        <f>D68-I68</f>
        <v>0</v>
      </c>
    </row>
    <row r="69" spans="1:11">
      <c r="A69" s="23" t="s">
        <v>31</v>
      </c>
      <c r="B69" s="34">
        <v>2</v>
      </c>
      <c r="C69" s="80">
        <v>4726.7</v>
      </c>
      <c r="D69" s="80">
        <f t="shared" si="5"/>
        <v>9453.4</v>
      </c>
      <c r="F69" s="23" t="s">
        <v>31</v>
      </c>
      <c r="G69" s="34">
        <v>0</v>
      </c>
      <c r="H69" s="80">
        <v>4726.7</v>
      </c>
      <c r="I69" s="80">
        <f t="shared" si="6"/>
        <v>0</v>
      </c>
      <c r="K69" s="80">
        <f>D69-I69</f>
        <v>9453.4</v>
      </c>
    </row>
    <row r="70" spans="1:11">
      <c r="A70" s="23" t="s">
        <v>34</v>
      </c>
      <c r="B70" s="34">
        <v>1</v>
      </c>
      <c r="C70" s="80">
        <v>3434.43</v>
      </c>
      <c r="D70" s="80">
        <f t="shared" si="5"/>
        <v>3434.43</v>
      </c>
      <c r="F70" s="23" t="s">
        <v>34</v>
      </c>
      <c r="G70" s="34">
        <v>3</v>
      </c>
      <c r="H70" s="80">
        <v>3434.43</v>
      </c>
      <c r="I70" s="80">
        <f t="shared" si="6"/>
        <v>10303.289999999999</v>
      </c>
      <c r="K70" s="80">
        <f>D70-I70</f>
        <v>-6868.8599999999988</v>
      </c>
    </row>
    <row r="71" spans="1:11">
      <c r="A71" s="23" t="s">
        <v>23</v>
      </c>
      <c r="B71" s="34">
        <v>1</v>
      </c>
      <c r="C71" s="80">
        <v>2984.45</v>
      </c>
      <c r="D71" s="80">
        <f t="shared" si="5"/>
        <v>2984.45</v>
      </c>
      <c r="F71" s="23" t="s">
        <v>23</v>
      </c>
      <c r="G71" s="34">
        <v>4</v>
      </c>
      <c r="H71" s="80">
        <v>2984.45</v>
      </c>
      <c r="I71" s="80">
        <f t="shared" si="6"/>
        <v>11937.8</v>
      </c>
      <c r="K71" s="80"/>
    </row>
    <row r="72" spans="1:11">
      <c r="A72" s="23" t="s">
        <v>24</v>
      </c>
      <c r="B72" s="34">
        <v>6</v>
      </c>
      <c r="C72" s="80">
        <v>2121.65</v>
      </c>
      <c r="D72" s="80">
        <f t="shared" si="5"/>
        <v>12729.900000000001</v>
      </c>
      <c r="F72" s="23" t="s">
        <v>24</v>
      </c>
      <c r="G72" s="34">
        <v>0</v>
      </c>
      <c r="H72" s="80">
        <v>2121.65</v>
      </c>
      <c r="I72" s="80">
        <f t="shared" si="6"/>
        <v>0</v>
      </c>
      <c r="K72" s="80">
        <f>D72-I72</f>
        <v>12729.900000000001</v>
      </c>
    </row>
    <row r="73" spans="1:11">
      <c r="A73" s="23" t="s">
        <v>22</v>
      </c>
      <c r="B73" s="34">
        <v>0</v>
      </c>
      <c r="C73" s="80">
        <v>1823.15</v>
      </c>
      <c r="D73" s="80">
        <f t="shared" si="5"/>
        <v>0</v>
      </c>
      <c r="F73" s="23" t="s">
        <v>22</v>
      </c>
      <c r="G73" s="34">
        <v>3</v>
      </c>
      <c r="H73" s="80">
        <v>1823.15</v>
      </c>
      <c r="I73" s="80">
        <f t="shared" si="6"/>
        <v>5469.4500000000007</v>
      </c>
      <c r="K73" s="80"/>
    </row>
    <row r="74" spans="1:11">
      <c r="A74" s="23" t="s">
        <v>45</v>
      </c>
      <c r="B74" s="34">
        <v>3</v>
      </c>
      <c r="C74" s="80">
        <v>1567.95</v>
      </c>
      <c r="D74" s="80">
        <f t="shared" si="5"/>
        <v>4703.8500000000004</v>
      </c>
      <c r="F74" s="23" t="s">
        <v>45</v>
      </c>
      <c r="G74" s="34">
        <v>0</v>
      </c>
      <c r="H74" s="80">
        <v>1567.95</v>
      </c>
      <c r="I74" s="80">
        <f t="shared" si="6"/>
        <v>0</v>
      </c>
      <c r="K74" s="80">
        <f>D74-I74</f>
        <v>4703.8500000000004</v>
      </c>
    </row>
    <row r="75" spans="1:11">
      <c r="A75" s="239" t="s">
        <v>169</v>
      </c>
      <c r="B75" s="240">
        <f>SUM(B68:B74)</f>
        <v>14</v>
      </c>
      <c r="C75" s="241"/>
      <c r="D75" s="241">
        <f>SUM(D68:D74)</f>
        <v>43658.549999999996</v>
      </c>
      <c r="E75" s="163"/>
      <c r="F75" s="239" t="s">
        <v>169</v>
      </c>
      <c r="G75" s="240">
        <f>SUM(G68:G74)</f>
        <v>11</v>
      </c>
      <c r="H75" s="241"/>
      <c r="I75" s="241">
        <f>SUM(I68:I74)</f>
        <v>38063.06</v>
      </c>
      <c r="J75" s="163"/>
      <c r="K75" s="241">
        <f>D75-I75</f>
        <v>5595.489999999998</v>
      </c>
    </row>
    <row r="76" spans="1:11" ht="7.5" customHeight="1">
      <c r="A76" s="145"/>
      <c r="B76" s="139"/>
    </row>
    <row r="77" spans="1:11">
      <c r="A77" s="452" t="s">
        <v>192</v>
      </c>
      <c r="B77" s="452"/>
      <c r="C77" s="452"/>
      <c r="D77" s="124">
        <v>2</v>
      </c>
      <c r="F77" s="452" t="s">
        <v>192</v>
      </c>
      <c r="G77" s="452"/>
      <c r="H77" s="452"/>
      <c r="I77" s="124">
        <v>2</v>
      </c>
      <c r="K77" s="23" t="s">
        <v>189</v>
      </c>
    </row>
    <row r="78" spans="1:11" ht="9.75" customHeight="1"/>
    <row r="79" spans="1:11">
      <c r="A79" s="453" t="s">
        <v>190</v>
      </c>
      <c r="B79" s="453"/>
      <c r="C79" s="453"/>
      <c r="D79" s="241">
        <f>D75*D77</f>
        <v>87317.099999999991</v>
      </c>
      <c r="F79" s="453" t="s">
        <v>190</v>
      </c>
      <c r="G79" s="453"/>
      <c r="H79" s="453"/>
      <c r="I79" s="241">
        <f>I75*I77</f>
        <v>76126.12</v>
      </c>
      <c r="K79" s="241">
        <f>D79-I79</f>
        <v>11190.979999999996</v>
      </c>
    </row>
    <row r="80" spans="1:11" ht="12" customHeight="1"/>
    <row r="81" spans="1:11" ht="19.5" customHeight="1">
      <c r="A81" s="428" t="s">
        <v>197</v>
      </c>
      <c r="B81" s="428"/>
      <c r="C81" s="428"/>
      <c r="D81" s="428"/>
      <c r="E81" s="428"/>
      <c r="F81" s="428"/>
      <c r="G81" s="428"/>
      <c r="H81" s="428"/>
      <c r="I81" s="428"/>
      <c r="J81" s="428"/>
      <c r="K81" s="428"/>
    </row>
    <row r="82" spans="1:11" ht="9.75" customHeight="1"/>
    <row r="83" spans="1:11" ht="14.85" customHeight="1">
      <c r="A83" s="433" t="s">
        <v>4</v>
      </c>
      <c r="B83" s="433"/>
      <c r="C83" s="433"/>
      <c r="D83" s="433"/>
      <c r="F83" s="433" t="s">
        <v>8</v>
      </c>
      <c r="G83" s="433"/>
      <c r="H83" s="433"/>
      <c r="I83" s="433"/>
      <c r="K83" s="455" t="s">
        <v>184</v>
      </c>
    </row>
    <row r="84" spans="1:11" ht="48" customHeight="1">
      <c r="A84" s="238" t="s">
        <v>185</v>
      </c>
      <c r="B84" s="164" t="s">
        <v>186</v>
      </c>
      <c r="C84" s="164" t="s">
        <v>13</v>
      </c>
      <c r="D84" s="164" t="s">
        <v>14</v>
      </c>
      <c r="F84" s="238" t="s">
        <v>185</v>
      </c>
      <c r="G84" s="164" t="s">
        <v>186</v>
      </c>
      <c r="H84" s="164" t="s">
        <v>13</v>
      </c>
      <c r="I84" s="164" t="s">
        <v>14</v>
      </c>
      <c r="K84" s="455"/>
    </row>
    <row r="85" spans="1:11">
      <c r="A85" s="23" t="s">
        <v>28</v>
      </c>
      <c r="B85" s="34">
        <v>1</v>
      </c>
      <c r="C85" s="80">
        <v>10352.52</v>
      </c>
      <c r="D85" s="80">
        <f t="shared" ref="D85:D91" si="7">B85*C85</f>
        <v>10352.52</v>
      </c>
      <c r="F85" s="23" t="s">
        <v>28</v>
      </c>
      <c r="G85" s="34">
        <v>1</v>
      </c>
      <c r="H85" s="80">
        <v>10352.52</v>
      </c>
      <c r="I85" s="80">
        <f t="shared" ref="I85:I91" si="8">G85*H85</f>
        <v>10352.52</v>
      </c>
      <c r="K85" s="80">
        <f>D85-I85</f>
        <v>0</v>
      </c>
    </row>
    <row r="86" spans="1:11">
      <c r="A86" s="23" t="s">
        <v>31</v>
      </c>
      <c r="B86" s="34">
        <v>2</v>
      </c>
      <c r="C86" s="80">
        <v>4726.7</v>
      </c>
      <c r="D86" s="80">
        <f t="shared" si="7"/>
        <v>9453.4</v>
      </c>
      <c r="F86" s="23" t="s">
        <v>31</v>
      </c>
      <c r="G86" s="34">
        <v>0</v>
      </c>
      <c r="H86" s="80">
        <v>4726.7</v>
      </c>
      <c r="I86" s="80">
        <f t="shared" si="8"/>
        <v>0</v>
      </c>
      <c r="K86" s="80">
        <f>D86-I86</f>
        <v>9453.4</v>
      </c>
    </row>
    <row r="87" spans="1:11">
      <c r="A87" s="23" t="s">
        <v>34</v>
      </c>
      <c r="B87" s="34">
        <v>1</v>
      </c>
      <c r="C87" s="80">
        <v>3434.43</v>
      </c>
      <c r="D87" s="80">
        <f t="shared" si="7"/>
        <v>3434.43</v>
      </c>
      <c r="F87" s="23" t="s">
        <v>34</v>
      </c>
      <c r="G87" s="34">
        <v>2</v>
      </c>
      <c r="H87" s="80">
        <v>3434.43</v>
      </c>
      <c r="I87" s="80">
        <f t="shared" si="8"/>
        <v>6868.86</v>
      </c>
      <c r="K87" s="80">
        <f>D87-I87</f>
        <v>-3434.43</v>
      </c>
    </row>
    <row r="88" spans="1:11">
      <c r="A88" s="23" t="s">
        <v>23</v>
      </c>
      <c r="B88" s="34">
        <v>1</v>
      </c>
      <c r="C88" s="80">
        <v>2984.45</v>
      </c>
      <c r="D88" s="80">
        <f t="shared" si="7"/>
        <v>2984.45</v>
      </c>
      <c r="F88" s="23" t="s">
        <v>23</v>
      </c>
      <c r="G88" s="34">
        <v>2</v>
      </c>
      <c r="H88" s="80">
        <v>2984.45</v>
      </c>
      <c r="I88" s="80">
        <f t="shared" si="8"/>
        <v>5968.9</v>
      </c>
      <c r="K88" s="80"/>
    </row>
    <row r="89" spans="1:11">
      <c r="A89" s="23" t="s">
        <v>24</v>
      </c>
      <c r="B89" s="34">
        <v>6</v>
      </c>
      <c r="C89" s="80">
        <v>2121.65</v>
      </c>
      <c r="D89" s="80">
        <f t="shared" si="7"/>
        <v>12729.900000000001</v>
      </c>
      <c r="F89" s="23" t="s">
        <v>24</v>
      </c>
      <c r="G89" s="34">
        <v>0</v>
      </c>
      <c r="H89" s="80">
        <v>2121.65</v>
      </c>
      <c r="I89" s="80">
        <f t="shared" si="8"/>
        <v>0</v>
      </c>
      <c r="K89" s="80">
        <f>D89-I89</f>
        <v>12729.900000000001</v>
      </c>
    </row>
    <row r="90" spans="1:11">
      <c r="A90" s="23" t="s">
        <v>22</v>
      </c>
      <c r="B90" s="34">
        <v>0</v>
      </c>
      <c r="C90" s="80">
        <v>1823.15</v>
      </c>
      <c r="D90" s="80">
        <f t="shared" si="7"/>
        <v>0</v>
      </c>
      <c r="F90" s="23" t="s">
        <v>22</v>
      </c>
      <c r="G90" s="34">
        <v>0</v>
      </c>
      <c r="H90" s="80">
        <v>1823.15</v>
      </c>
      <c r="I90" s="80">
        <f t="shared" si="8"/>
        <v>0</v>
      </c>
      <c r="K90" s="80"/>
    </row>
    <row r="91" spans="1:11">
      <c r="A91" s="23" t="s">
        <v>45</v>
      </c>
      <c r="B91" s="34">
        <v>3</v>
      </c>
      <c r="C91" s="80">
        <v>1567.95</v>
      </c>
      <c r="D91" s="80">
        <f t="shared" si="7"/>
        <v>4703.8500000000004</v>
      </c>
      <c r="F91" s="23" t="s">
        <v>45</v>
      </c>
      <c r="G91" s="34">
        <v>0</v>
      </c>
      <c r="H91" s="80">
        <v>1567.95</v>
      </c>
      <c r="I91" s="80">
        <f t="shared" si="8"/>
        <v>0</v>
      </c>
      <c r="K91" s="80">
        <f>D91-I91</f>
        <v>4703.8500000000004</v>
      </c>
    </row>
    <row r="92" spans="1:11">
      <c r="A92" s="239" t="s">
        <v>169</v>
      </c>
      <c r="B92" s="240">
        <f>SUM(B85:B91)</f>
        <v>14</v>
      </c>
      <c r="C92" s="241"/>
      <c r="D92" s="241">
        <f>SUM(D85:D91)</f>
        <v>43658.549999999996</v>
      </c>
      <c r="E92" s="163"/>
      <c r="F92" s="239" t="s">
        <v>169</v>
      </c>
      <c r="G92" s="240">
        <f>SUM(G85:G91)</f>
        <v>5</v>
      </c>
      <c r="H92" s="241"/>
      <c r="I92" s="241">
        <f>SUM(I85:I91)</f>
        <v>23190.28</v>
      </c>
      <c r="J92" s="163"/>
      <c r="K92" s="241">
        <f>D92-I92</f>
        <v>20468.269999999997</v>
      </c>
    </row>
    <row r="93" spans="1:11" ht="8.25" customHeight="1">
      <c r="A93" s="145"/>
      <c r="B93" s="139"/>
    </row>
    <row r="94" spans="1:11">
      <c r="A94" s="452" t="s">
        <v>192</v>
      </c>
      <c r="B94" s="452"/>
      <c r="C94" s="452"/>
      <c r="D94" s="124">
        <v>1</v>
      </c>
      <c r="F94" s="452" t="s">
        <v>192</v>
      </c>
      <c r="G94" s="452"/>
      <c r="H94" s="452"/>
      <c r="I94" s="124">
        <v>1</v>
      </c>
      <c r="K94" s="23" t="s">
        <v>189</v>
      </c>
    </row>
    <row r="95" spans="1:11" ht="9" customHeight="1"/>
    <row r="96" spans="1:11">
      <c r="A96" s="453" t="s">
        <v>190</v>
      </c>
      <c r="B96" s="453"/>
      <c r="C96" s="453"/>
      <c r="D96" s="241">
        <f>D92*D94</f>
        <v>43658.549999999996</v>
      </c>
      <c r="F96" s="453" t="s">
        <v>190</v>
      </c>
      <c r="G96" s="453"/>
      <c r="H96" s="453"/>
      <c r="I96" s="241">
        <f>I92*I94</f>
        <v>23190.28</v>
      </c>
      <c r="K96" s="241">
        <f>D96-I96</f>
        <v>20468.269999999997</v>
      </c>
    </row>
    <row r="97" spans="1:13" ht="10.5" customHeight="1"/>
    <row r="98" spans="1:13" ht="15.75">
      <c r="A98" s="245" t="s">
        <v>191</v>
      </c>
      <c r="B98" s="245"/>
      <c r="C98" s="245"/>
      <c r="D98" s="245"/>
      <c r="E98" s="245"/>
      <c r="F98" s="245"/>
      <c r="G98" s="245"/>
      <c r="H98" s="245"/>
      <c r="I98" s="245"/>
      <c r="J98" s="245"/>
      <c r="K98" s="246">
        <f>K38</f>
        <v>141807.45000000007</v>
      </c>
    </row>
    <row r="99" spans="1:13" ht="15.75">
      <c r="A99" s="245" t="s">
        <v>195</v>
      </c>
      <c r="B99" s="245"/>
      <c r="C99" s="245"/>
      <c r="D99" s="245"/>
      <c r="E99" s="245"/>
      <c r="F99" s="245"/>
      <c r="G99" s="245"/>
      <c r="H99" s="245"/>
      <c r="I99" s="245"/>
      <c r="J99" s="245"/>
      <c r="K99" s="246">
        <f>K62</f>
        <v>-22624.569999999978</v>
      </c>
    </row>
    <row r="100" spans="1:13" ht="15.75">
      <c r="A100" s="245" t="s">
        <v>196</v>
      </c>
      <c r="B100" s="245"/>
      <c r="C100" s="245"/>
      <c r="D100" s="245"/>
      <c r="E100" s="245"/>
      <c r="F100" s="245"/>
      <c r="G100" s="245"/>
      <c r="H100" s="245"/>
      <c r="I100" s="245"/>
      <c r="J100" s="245"/>
      <c r="K100" s="246">
        <f>K79</f>
        <v>11190.979999999996</v>
      </c>
    </row>
    <row r="101" spans="1:13" ht="15.75">
      <c r="A101" s="245" t="s">
        <v>197</v>
      </c>
      <c r="B101" s="245"/>
      <c r="C101" s="245"/>
      <c r="D101" s="245"/>
      <c r="E101" s="245"/>
      <c r="F101" s="245"/>
      <c r="G101" s="245"/>
      <c r="H101" s="245"/>
      <c r="I101" s="245"/>
      <c r="J101" s="245"/>
      <c r="K101" s="246">
        <f>K96</f>
        <v>20468.269999999997</v>
      </c>
    </row>
    <row r="102" spans="1:13" ht="15.75">
      <c r="A102" s="245" t="s">
        <v>198</v>
      </c>
      <c r="B102" s="247"/>
      <c r="C102" s="247"/>
      <c r="D102" s="247"/>
      <c r="E102" s="247"/>
      <c r="F102" s="247"/>
      <c r="G102" s="247"/>
      <c r="H102" s="247"/>
      <c r="I102" s="247"/>
      <c r="J102" s="247"/>
      <c r="K102" s="246">
        <f>SUM(K98:K101)</f>
        <v>150842.13000000009</v>
      </c>
    </row>
    <row r="103" spans="1:13" ht="15.75">
      <c r="A103" s="245" t="s">
        <v>199</v>
      </c>
      <c r="B103" s="247"/>
      <c r="C103" s="247"/>
      <c r="D103" s="247"/>
      <c r="E103" s="247"/>
      <c r="F103" s="247"/>
      <c r="G103" s="247"/>
      <c r="H103" s="247"/>
      <c r="I103" s="247"/>
      <c r="J103" s="247"/>
      <c r="K103" s="246">
        <f>K21</f>
        <v>-41840.399999999907</v>
      </c>
    </row>
    <row r="104" spans="1:13" ht="15.75">
      <c r="A104" s="245" t="s">
        <v>200</v>
      </c>
      <c r="B104" s="247"/>
      <c r="C104" s="247"/>
      <c r="D104" s="247"/>
      <c r="E104" s="247"/>
      <c r="F104" s="247"/>
      <c r="G104" s="247"/>
      <c r="H104" s="247"/>
      <c r="I104" s="247"/>
      <c r="J104" s="247"/>
      <c r="K104" s="248">
        <f>K102+K103</f>
        <v>109001.73000000019</v>
      </c>
      <c r="M104" s="139"/>
    </row>
    <row r="105" spans="1:13" ht="9" customHeight="1">
      <c r="M105" s="139"/>
    </row>
    <row r="106" spans="1:13" ht="15" customHeight="1">
      <c r="A106" s="249" t="s">
        <v>201</v>
      </c>
      <c r="B106" s="250" t="s">
        <v>202</v>
      </c>
      <c r="C106" s="251" t="s">
        <v>203</v>
      </c>
      <c r="D106" s="252" t="s">
        <v>169</v>
      </c>
      <c r="E106" s="454" t="s">
        <v>204</v>
      </c>
      <c r="F106" s="454"/>
      <c r="G106" s="454"/>
      <c r="I106" s="253"/>
      <c r="K106" s="139"/>
    </row>
    <row r="107" spans="1:13">
      <c r="A107" s="239" t="s">
        <v>34</v>
      </c>
      <c r="B107" s="215">
        <v>102</v>
      </c>
      <c r="C107" s="23">
        <f>75+21+6+2</f>
        <v>104</v>
      </c>
      <c r="D107" s="254">
        <f>B107+C107</f>
        <v>206</v>
      </c>
      <c r="E107" s="454"/>
      <c r="F107" s="454"/>
      <c r="G107" s="454"/>
      <c r="I107" s="253"/>
      <c r="K107" s="139"/>
    </row>
    <row r="108" spans="1:13">
      <c r="A108" s="239" t="s">
        <v>23</v>
      </c>
      <c r="B108" s="215">
        <v>0</v>
      </c>
      <c r="C108" s="23">
        <f>100+28+8+2</f>
        <v>138</v>
      </c>
      <c r="D108" s="254">
        <f>B108+C108</f>
        <v>138</v>
      </c>
      <c r="E108" s="454"/>
      <c r="F108" s="454"/>
      <c r="G108" s="454"/>
      <c r="I108" s="253"/>
      <c r="K108" s="139"/>
    </row>
    <row r="109" spans="1:13">
      <c r="A109" s="239" t="s">
        <v>24</v>
      </c>
      <c r="B109" s="215">
        <v>34</v>
      </c>
      <c r="C109" s="23">
        <v>0</v>
      </c>
      <c r="D109" s="254">
        <f>B109+C109</f>
        <v>34</v>
      </c>
      <c r="E109" s="454"/>
      <c r="F109" s="454"/>
      <c r="G109" s="454"/>
      <c r="I109" s="253"/>
      <c r="K109" s="139"/>
    </row>
    <row r="110" spans="1:13">
      <c r="A110" s="239" t="s">
        <v>22</v>
      </c>
      <c r="B110" s="215">
        <v>0</v>
      </c>
      <c r="C110" s="23">
        <f>50+7+6</f>
        <v>63</v>
      </c>
      <c r="D110" s="254">
        <f>B110+C110</f>
        <v>63</v>
      </c>
      <c r="E110" s="454"/>
      <c r="F110" s="454"/>
      <c r="G110" s="454"/>
      <c r="I110" s="253"/>
      <c r="K110" s="139"/>
      <c r="M110" s="139"/>
    </row>
    <row r="111" spans="1:13">
      <c r="A111" s="239" t="s">
        <v>176</v>
      </c>
      <c r="B111" s="215">
        <f>SUM(B107:B110)</f>
        <v>136</v>
      </c>
      <c r="C111" s="23">
        <f>SUM(C107:C110)</f>
        <v>305</v>
      </c>
      <c r="D111" s="254">
        <f>SUM(D107:D110)</f>
        <v>441</v>
      </c>
      <c r="E111" s="454"/>
      <c r="F111" s="454"/>
      <c r="G111" s="454"/>
      <c r="I111" s="253"/>
      <c r="K111" s="139"/>
      <c r="M111" s="139"/>
    </row>
    <row r="112" spans="1:13">
      <c r="A112" s="239" t="s">
        <v>28</v>
      </c>
      <c r="B112" s="215">
        <v>34</v>
      </c>
      <c r="C112" s="23">
        <v>35</v>
      </c>
      <c r="D112" s="254">
        <f>B112+C112</f>
        <v>69</v>
      </c>
      <c r="E112" s="454"/>
      <c r="F112" s="454"/>
      <c r="G112" s="454"/>
    </row>
    <row r="113" spans="1:11">
      <c r="A113" s="239" t="s">
        <v>169</v>
      </c>
      <c r="B113" s="215">
        <f>B111+B112</f>
        <v>170</v>
      </c>
      <c r="C113" s="23">
        <f>C111+C112</f>
        <v>340</v>
      </c>
      <c r="D113" s="254">
        <f>D111+D112</f>
        <v>510</v>
      </c>
      <c r="E113" s="454"/>
      <c r="F113" s="454"/>
      <c r="G113" s="454"/>
      <c r="H113" s="126"/>
      <c r="I113" s="126"/>
      <c r="J113" s="126"/>
      <c r="K113" s="237" t="s">
        <v>193</v>
      </c>
    </row>
    <row r="114" spans="1:11">
      <c r="A114" s="31"/>
    </row>
  </sheetData>
  <sheetProtection selectLockedCells="1" selectUnlockedCells="1"/>
  <mergeCells count="44">
    <mergeCell ref="A4:K4"/>
    <mergeCell ref="A6:K6"/>
    <mergeCell ref="A8:K8"/>
    <mergeCell ref="A10:D10"/>
    <mergeCell ref="F10:I10"/>
    <mergeCell ref="K10:K11"/>
    <mergeCell ref="A45:K45"/>
    <mergeCell ref="A19:C19"/>
    <mergeCell ref="A21:C21"/>
    <mergeCell ref="F21:H21"/>
    <mergeCell ref="A23:K23"/>
    <mergeCell ref="A25:D25"/>
    <mergeCell ref="F25:I25"/>
    <mergeCell ref="K25:K26"/>
    <mergeCell ref="A36:C36"/>
    <mergeCell ref="F36:H36"/>
    <mergeCell ref="A38:C38"/>
    <mergeCell ref="F38:H38"/>
    <mergeCell ref="A43:K43"/>
    <mergeCell ref="A47:K47"/>
    <mergeCell ref="A49:D49"/>
    <mergeCell ref="F49:I49"/>
    <mergeCell ref="K49:K50"/>
    <mergeCell ref="A60:C60"/>
    <mergeCell ref="F60:H60"/>
    <mergeCell ref="A83:D83"/>
    <mergeCell ref="F83:I83"/>
    <mergeCell ref="K83:K84"/>
    <mergeCell ref="A62:C62"/>
    <mergeCell ref="F62:H62"/>
    <mergeCell ref="A64:K64"/>
    <mergeCell ref="A66:D66"/>
    <mergeCell ref="F66:I66"/>
    <mergeCell ref="K66:K67"/>
    <mergeCell ref="A77:C77"/>
    <mergeCell ref="F77:H77"/>
    <mergeCell ref="A79:C79"/>
    <mergeCell ref="F79:H79"/>
    <mergeCell ref="A81:K81"/>
    <mergeCell ref="A94:C94"/>
    <mergeCell ref="F94:H94"/>
    <mergeCell ref="A96:C96"/>
    <mergeCell ref="F96:H96"/>
    <mergeCell ref="E106:G113"/>
  </mergeCells>
  <printOptions horizontalCentered="1" verticalCentered="1"/>
  <pageMargins left="0.39374999999999999" right="0.39374999999999999" top="0.59027777777777779" bottom="0.59027777777777768" header="0.51180555555555551" footer="0.51180555555555551"/>
  <pageSetup paperSize="9" scale="68" firstPageNumber="0" orientation="portrait" horizontalDpi="300" verticalDpi="300" r:id="rId1"/>
  <headerFooter alignWithMargins="0">
    <oddFooter>&amp;C&amp;"Calibri,Regular"&amp;11&amp;P</oddFooter>
  </headerFooter>
  <rowBreaks count="2" manualBreakCount="2">
    <brk id="40" max="16383" man="1"/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O98"/>
  <sheetViews>
    <sheetView view="pageBreakPreview" zoomScaleSheetLayoutView="100" workbookViewId="0">
      <selection activeCell="E10" sqref="E10"/>
    </sheetView>
  </sheetViews>
  <sheetFormatPr defaultColWidth="9.42578125" defaultRowHeight="15"/>
  <cols>
    <col min="1" max="1" width="15.42578125" style="1" customWidth="1"/>
    <col min="2" max="2" width="8.7109375" style="1" customWidth="1"/>
    <col min="3" max="3" width="12.7109375" style="1" customWidth="1"/>
    <col min="4" max="4" width="15.28515625" style="1" customWidth="1"/>
    <col min="5" max="5" width="11" style="1" customWidth="1"/>
    <col min="6" max="6" width="16.5703125" style="1" customWidth="1"/>
    <col min="7" max="7" width="8.7109375" style="1" customWidth="1"/>
    <col min="8" max="8" width="13.42578125" style="1" customWidth="1"/>
    <col min="9" max="9" width="21.140625" style="1" customWidth="1"/>
    <col min="10" max="10" width="22.7109375" style="1" customWidth="1"/>
    <col min="11" max="11" width="14.140625" style="1" customWidth="1"/>
    <col min="12" max="12" width="6.28515625" style="1" customWidth="1"/>
    <col min="13" max="13" width="15" style="1" customWidth="1"/>
    <col min="14" max="14" width="28.140625" style="1" customWidth="1"/>
    <col min="15" max="15" width="12.28515625" style="1" customWidth="1"/>
    <col min="16" max="16" width="10.85546875" style="1" customWidth="1"/>
    <col min="17" max="17" width="11" style="1" customWidth="1"/>
    <col min="18" max="18" width="10.7109375" style="1" customWidth="1"/>
    <col min="19" max="19" width="9.42578125" style="1"/>
    <col min="20" max="20" width="11" style="1" customWidth="1"/>
    <col min="21" max="16384" width="9.42578125" style="1"/>
  </cols>
  <sheetData>
    <row r="1" spans="1:13" ht="21">
      <c r="A1" s="2" t="s">
        <v>0</v>
      </c>
      <c r="K1" s="255"/>
      <c r="L1" s="255"/>
      <c r="M1" s="256"/>
    </row>
    <row r="2" spans="1:13" ht="11.25" customHeight="1">
      <c r="A2" s="2"/>
    </row>
    <row r="3" spans="1:13" ht="18" customHeight="1">
      <c r="A3" s="428" t="s">
        <v>205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</row>
    <row r="4" spans="1:13" ht="9" customHeight="1"/>
    <row r="5" spans="1:13">
      <c r="A5" s="460" t="s">
        <v>4</v>
      </c>
      <c r="B5" s="460"/>
      <c r="C5" s="460"/>
      <c r="D5" s="460"/>
      <c r="F5" s="460" t="s">
        <v>206</v>
      </c>
      <c r="G5" s="460"/>
      <c r="H5" s="460"/>
      <c r="I5" s="460"/>
    </row>
    <row r="6" spans="1:13" ht="10.5" customHeight="1">
      <c r="C6" s="51"/>
    </row>
    <row r="7" spans="1:13">
      <c r="A7" s="433" t="s">
        <v>207</v>
      </c>
      <c r="B7" s="433"/>
      <c r="C7" s="433"/>
      <c r="D7" s="433"/>
      <c r="F7" s="433" t="s">
        <v>207</v>
      </c>
      <c r="G7" s="433"/>
      <c r="H7" s="433"/>
      <c r="I7" s="433"/>
      <c r="K7" s="242" t="s">
        <v>208</v>
      </c>
    </row>
    <row r="8" spans="1:13">
      <c r="A8" s="257"/>
      <c r="B8" s="257"/>
      <c r="C8" s="257"/>
      <c r="D8" s="257"/>
      <c r="F8" s="257"/>
      <c r="G8" s="257"/>
      <c r="H8" s="257"/>
      <c r="I8" s="257"/>
    </row>
    <row r="9" spans="1:13">
      <c r="A9" s="258" t="s">
        <v>209</v>
      </c>
      <c r="B9" s="239" t="s">
        <v>210</v>
      </c>
      <c r="C9" s="258" t="s">
        <v>211</v>
      </c>
      <c r="D9" s="258" t="s">
        <v>212</v>
      </c>
      <c r="E9" s="14"/>
      <c r="F9" s="258" t="s">
        <v>209</v>
      </c>
      <c r="G9" s="239" t="s">
        <v>210</v>
      </c>
      <c r="H9" s="258" t="s">
        <v>211</v>
      </c>
      <c r="I9" s="258" t="s">
        <v>212</v>
      </c>
      <c r="K9" s="258" t="s">
        <v>212</v>
      </c>
    </row>
    <row r="10" spans="1:13">
      <c r="A10" s="41" t="s">
        <v>213</v>
      </c>
      <c r="B10" s="23">
        <v>3</v>
      </c>
      <c r="C10" s="41">
        <v>11686.76</v>
      </c>
      <c r="D10" s="259">
        <f>B10*C10</f>
        <v>35060.28</v>
      </c>
      <c r="F10" s="41" t="s">
        <v>213</v>
      </c>
      <c r="G10" s="260">
        <f>2+1</f>
        <v>3</v>
      </c>
      <c r="H10" s="41">
        <v>11686.76</v>
      </c>
      <c r="I10" s="259">
        <f>G10*H10</f>
        <v>35060.28</v>
      </c>
      <c r="J10" s="1" t="s">
        <v>214</v>
      </c>
      <c r="K10" s="259">
        <f>D10-I10</f>
        <v>0</v>
      </c>
    </row>
    <row r="11" spans="1:13">
      <c r="A11" s="41" t="s">
        <v>215</v>
      </c>
      <c r="B11" s="23">
        <v>77</v>
      </c>
      <c r="C11" s="41">
        <v>10352.52</v>
      </c>
      <c r="D11" s="259">
        <f>B11*C11</f>
        <v>797144.04</v>
      </c>
      <c r="F11" s="41" t="s">
        <v>215</v>
      </c>
      <c r="G11" s="260">
        <f>4+7+35+34</f>
        <v>80</v>
      </c>
      <c r="H11" s="41">
        <v>10352.52</v>
      </c>
      <c r="I11" s="259">
        <f>G11*H11</f>
        <v>828201.60000000009</v>
      </c>
      <c r="J11" s="1" t="s">
        <v>214</v>
      </c>
      <c r="K11" s="259">
        <f>D11-I11</f>
        <v>-31057.560000000056</v>
      </c>
    </row>
    <row r="12" spans="1:13">
      <c r="A12" s="41" t="s">
        <v>216</v>
      </c>
      <c r="B12" s="23">
        <v>13</v>
      </c>
      <c r="C12" s="41">
        <v>9106.74</v>
      </c>
      <c r="D12" s="259">
        <f>B12*C12</f>
        <v>118387.62</v>
      </c>
      <c r="F12" s="41" t="s">
        <v>216</v>
      </c>
      <c r="G12" s="260">
        <f>9+4</f>
        <v>13</v>
      </c>
      <c r="H12" s="41">
        <v>9106.74</v>
      </c>
      <c r="I12" s="259">
        <f>G12*H12</f>
        <v>118387.62</v>
      </c>
      <c r="J12" s="1" t="s">
        <v>214</v>
      </c>
      <c r="K12" s="259">
        <f>D12-I12</f>
        <v>0</v>
      </c>
    </row>
    <row r="13" spans="1:13">
      <c r="A13" s="41" t="s">
        <v>217</v>
      </c>
      <c r="B13" s="23">
        <v>3</v>
      </c>
      <c r="C13" s="41">
        <v>7945.86</v>
      </c>
      <c r="D13" s="259">
        <f>B13*C13</f>
        <v>23837.579999999998</v>
      </c>
      <c r="F13" s="41" t="s">
        <v>217</v>
      </c>
      <c r="G13" s="260">
        <f>2+1</f>
        <v>3</v>
      </c>
      <c r="H13" s="41">
        <v>7945.86</v>
      </c>
      <c r="I13" s="259">
        <f>G13*H13</f>
        <v>23837.579999999998</v>
      </c>
      <c r="J13" s="134" t="s">
        <v>214</v>
      </c>
      <c r="K13" s="259">
        <f>D13-I13</f>
        <v>0</v>
      </c>
    </row>
    <row r="14" spans="1:13">
      <c r="A14" s="148" t="s">
        <v>176</v>
      </c>
      <c r="B14" s="239">
        <f>SUM(B10:B13)</f>
        <v>96</v>
      </c>
      <c r="C14" s="41"/>
      <c r="D14" s="148">
        <f>SUM(D10:D13)</f>
        <v>974429.52</v>
      </c>
      <c r="F14" s="148" t="s">
        <v>176</v>
      </c>
      <c r="G14" s="239">
        <f>SUM(G10:G13)</f>
        <v>99</v>
      </c>
      <c r="H14" s="41"/>
      <c r="I14" s="148">
        <f>SUM(I10:I13)</f>
        <v>1005487.0800000001</v>
      </c>
      <c r="K14" s="261">
        <f>SUM(K10:K13)</f>
        <v>-31057.560000000056</v>
      </c>
    </row>
    <row r="15" spans="1:13">
      <c r="A15" s="262"/>
      <c r="B15" s="257"/>
      <c r="C15" s="51"/>
      <c r="D15" s="262"/>
      <c r="F15" s="262"/>
      <c r="G15" s="257"/>
      <c r="H15" s="41"/>
      <c r="I15" s="148"/>
      <c r="J15" s="263" t="s">
        <v>218</v>
      </c>
      <c r="K15" s="261">
        <v>176.8</v>
      </c>
    </row>
    <row r="16" spans="1:13">
      <c r="A16" s="262"/>
      <c r="B16" s="257"/>
      <c r="C16" s="51"/>
      <c r="D16" s="262"/>
      <c r="F16" s="262"/>
      <c r="G16" s="257"/>
      <c r="H16" s="75"/>
      <c r="I16" s="264"/>
      <c r="J16" s="263" t="s">
        <v>219</v>
      </c>
      <c r="K16" s="265">
        <f>K14+K15</f>
        <v>-30880.760000000057</v>
      </c>
    </row>
    <row r="17" spans="1:13">
      <c r="A17" s="262"/>
      <c r="B17" s="266"/>
      <c r="C17" s="51"/>
      <c r="D17" s="262"/>
      <c r="F17" s="262"/>
      <c r="G17" s="266"/>
      <c r="H17" s="258" t="s">
        <v>45</v>
      </c>
      <c r="I17" s="148">
        <v>1567.95</v>
      </c>
      <c r="J17" s="239">
        <v>20</v>
      </c>
      <c r="K17" s="148">
        <f>I17*J17</f>
        <v>31359</v>
      </c>
    </row>
    <row r="18" spans="1:13">
      <c r="A18" s="262"/>
      <c r="B18" s="266"/>
      <c r="C18" s="51"/>
      <c r="D18" s="262"/>
      <c r="F18" s="262"/>
      <c r="G18" s="266"/>
      <c r="H18" s="461" t="s">
        <v>220</v>
      </c>
      <c r="I18" s="461"/>
      <c r="J18" s="461"/>
      <c r="K18" s="148">
        <f>K16+K17</f>
        <v>478.23999999994339</v>
      </c>
    </row>
    <row r="19" spans="1:13" ht="9.75" customHeight="1">
      <c r="A19" s="14"/>
      <c r="B19" s="14"/>
      <c r="C19" s="51"/>
      <c r="D19" s="14"/>
      <c r="F19" s="14"/>
      <c r="G19" s="14"/>
      <c r="H19" s="51"/>
      <c r="I19" s="14"/>
    </row>
    <row r="20" spans="1:13">
      <c r="A20" s="433" t="s">
        <v>221</v>
      </c>
      <c r="B20" s="433"/>
      <c r="C20" s="433"/>
      <c r="D20" s="433"/>
      <c r="F20" s="433" t="s">
        <v>221</v>
      </c>
      <c r="G20" s="433"/>
      <c r="H20" s="433"/>
      <c r="I20" s="433"/>
      <c r="K20" s="242" t="s">
        <v>208</v>
      </c>
    </row>
    <row r="21" spans="1:13" ht="10.5" customHeight="1">
      <c r="C21" s="51"/>
      <c r="H21" s="51"/>
    </row>
    <row r="22" spans="1:13">
      <c r="A22" s="41" t="s">
        <v>222</v>
      </c>
      <c r="B22" s="124">
        <v>117</v>
      </c>
      <c r="C22" s="41">
        <v>4726.7</v>
      </c>
      <c r="D22" s="259">
        <f t="shared" ref="D22:D27" si="0">B22*C22</f>
        <v>553023.9</v>
      </c>
      <c r="F22" s="41" t="s">
        <v>222</v>
      </c>
      <c r="G22" s="260">
        <f>12+5</f>
        <v>17</v>
      </c>
      <c r="H22" s="41">
        <v>4726.7</v>
      </c>
      <c r="I22" s="259">
        <f t="shared" ref="I22:I27" si="1">G22*H22</f>
        <v>80353.899999999994</v>
      </c>
      <c r="J22" s="1" t="s">
        <v>214</v>
      </c>
      <c r="K22" s="259">
        <f t="shared" ref="K22:K27" si="2">D22-I22</f>
        <v>472670</v>
      </c>
    </row>
    <row r="23" spans="1:13">
      <c r="A23" s="41" t="s">
        <v>223</v>
      </c>
      <c r="B23" s="124">
        <v>106</v>
      </c>
      <c r="C23" s="41">
        <v>3434.43</v>
      </c>
      <c r="D23" s="259">
        <f t="shared" si="0"/>
        <v>364049.57999999996</v>
      </c>
      <c r="F23" s="41" t="s">
        <v>223</v>
      </c>
      <c r="G23" s="260">
        <f>37+1+23+104+102+2</f>
        <v>269</v>
      </c>
      <c r="H23" s="41">
        <v>3434.43</v>
      </c>
      <c r="I23" s="259">
        <f t="shared" si="1"/>
        <v>923861.66999999993</v>
      </c>
      <c r="J23" s="1" t="s">
        <v>214</v>
      </c>
      <c r="K23" s="259">
        <f t="shared" si="2"/>
        <v>-559812.09</v>
      </c>
      <c r="M23" s="55"/>
    </row>
    <row r="24" spans="1:13">
      <c r="A24" s="41" t="s">
        <v>224</v>
      </c>
      <c r="B24" s="124">
        <v>29</v>
      </c>
      <c r="C24" s="41">
        <v>2984.45</v>
      </c>
      <c r="D24" s="259">
        <f t="shared" si="0"/>
        <v>86549.049999999988</v>
      </c>
      <c r="F24" s="41" t="s">
        <v>224</v>
      </c>
      <c r="G24" s="260">
        <f>100+28+8+2</f>
        <v>138</v>
      </c>
      <c r="H24" s="41">
        <v>2984.45</v>
      </c>
      <c r="I24" s="259">
        <f t="shared" si="1"/>
        <v>411854.1</v>
      </c>
      <c r="J24" s="1" t="s">
        <v>214</v>
      </c>
      <c r="K24" s="259">
        <f t="shared" si="2"/>
        <v>-325305.05</v>
      </c>
    </row>
    <row r="25" spans="1:13">
      <c r="A25" s="41" t="s">
        <v>225</v>
      </c>
      <c r="B25" s="124">
        <v>375</v>
      </c>
      <c r="C25" s="41">
        <v>2121.65</v>
      </c>
      <c r="D25" s="259">
        <f t="shared" si="0"/>
        <v>795618.75</v>
      </c>
      <c r="F25" s="41" t="s">
        <v>225</v>
      </c>
      <c r="G25" s="260">
        <f>85-2+44+34</f>
        <v>161</v>
      </c>
      <c r="H25" s="41">
        <v>2121.65</v>
      </c>
      <c r="I25" s="259">
        <f t="shared" si="1"/>
        <v>341585.65</v>
      </c>
      <c r="J25" s="134" t="s">
        <v>214</v>
      </c>
      <c r="K25" s="259">
        <f t="shared" si="2"/>
        <v>454033.1</v>
      </c>
    </row>
    <row r="26" spans="1:13">
      <c r="A26" s="41" t="s">
        <v>226</v>
      </c>
      <c r="B26" s="124">
        <v>0</v>
      </c>
      <c r="C26" s="41">
        <v>1823.15</v>
      </c>
      <c r="D26" s="259">
        <f t="shared" si="0"/>
        <v>0</v>
      </c>
      <c r="F26" s="267" t="s">
        <v>226</v>
      </c>
      <c r="G26" s="260">
        <v>63</v>
      </c>
      <c r="H26" s="41">
        <v>1823.15</v>
      </c>
      <c r="I26" s="259">
        <f t="shared" si="1"/>
        <v>114858.45000000001</v>
      </c>
      <c r="J26" s="134" t="s">
        <v>214</v>
      </c>
      <c r="K26" s="259">
        <f t="shared" si="2"/>
        <v>-114858.45000000001</v>
      </c>
      <c r="M26" s="55"/>
    </row>
    <row r="27" spans="1:13">
      <c r="A27" s="41" t="s">
        <v>227</v>
      </c>
      <c r="B27" s="124">
        <v>231</v>
      </c>
      <c r="C27" s="41">
        <v>1567.95</v>
      </c>
      <c r="D27" s="259">
        <f t="shared" si="0"/>
        <v>362196.45</v>
      </c>
      <c r="F27" s="41" t="s">
        <v>227</v>
      </c>
      <c r="G27" s="23">
        <f>20+1+13</f>
        <v>34</v>
      </c>
      <c r="H27" s="41">
        <v>1567.95</v>
      </c>
      <c r="I27" s="259">
        <f t="shared" si="1"/>
        <v>53310.3</v>
      </c>
      <c r="J27" s="134" t="s">
        <v>214</v>
      </c>
      <c r="K27" s="259">
        <f t="shared" si="2"/>
        <v>308886.15000000002</v>
      </c>
      <c r="M27" s="55"/>
    </row>
    <row r="28" spans="1:13">
      <c r="A28" s="148" t="s">
        <v>176</v>
      </c>
      <c r="B28" s="244">
        <f>SUM(B22:B27)</f>
        <v>858</v>
      </c>
      <c r="C28" s="268"/>
      <c r="D28" s="148">
        <f>SUM(D22:D27)</f>
        <v>2161437.73</v>
      </c>
      <c r="F28" s="148" t="s">
        <v>176</v>
      </c>
      <c r="G28" s="239">
        <f>SUM(G22:G27)</f>
        <v>682</v>
      </c>
      <c r="H28" s="268"/>
      <c r="I28" s="148">
        <f>SUM(I22:I27)</f>
        <v>1925824.0699999998</v>
      </c>
      <c r="K28" s="261">
        <f>SUM(K22:K27)</f>
        <v>235613.66000000003</v>
      </c>
      <c r="M28" s="55"/>
    </row>
    <row r="29" spans="1:13" ht="10.5" customHeight="1">
      <c r="A29" s="14"/>
      <c r="B29" s="14"/>
      <c r="C29" s="51"/>
      <c r="D29" s="53"/>
      <c r="F29" s="14"/>
      <c r="G29" s="14"/>
      <c r="H29" s="51"/>
      <c r="I29" s="14"/>
      <c r="M29" s="55"/>
    </row>
    <row r="30" spans="1:13">
      <c r="A30" s="268" t="s">
        <v>228</v>
      </c>
      <c r="B30" s="244">
        <f>B14+B28</f>
        <v>954</v>
      </c>
      <c r="C30" s="268"/>
      <c r="D30" s="148">
        <f>D14+D28</f>
        <v>3135867.25</v>
      </c>
      <c r="F30" s="268" t="s">
        <v>228</v>
      </c>
      <c r="G30" s="239">
        <f>G14+G28</f>
        <v>781</v>
      </c>
      <c r="H30" s="268"/>
      <c r="I30" s="148">
        <f>I14+I28</f>
        <v>2931311.15</v>
      </c>
      <c r="K30" s="261">
        <f>K16+K28</f>
        <v>204732.89999999997</v>
      </c>
      <c r="M30" s="191"/>
    </row>
    <row r="31" spans="1:13">
      <c r="A31" s="223"/>
      <c r="B31" s="266"/>
      <c r="C31" s="223"/>
      <c r="D31" s="262"/>
      <c r="F31" s="223"/>
      <c r="G31" s="257"/>
      <c r="H31" s="223"/>
      <c r="I31" s="262"/>
      <c r="J31" s="263" t="s">
        <v>229</v>
      </c>
      <c r="K31" s="265">
        <f>11.53+191.12</f>
        <v>202.65</v>
      </c>
      <c r="M31" s="55"/>
    </row>
    <row r="32" spans="1:13">
      <c r="A32" s="223"/>
      <c r="B32" s="266"/>
      <c r="C32" s="223"/>
      <c r="D32" s="262"/>
      <c r="F32" s="223"/>
      <c r="G32" s="257"/>
      <c r="H32" s="223"/>
      <c r="I32" s="262"/>
      <c r="J32" s="269" t="s">
        <v>230</v>
      </c>
      <c r="K32" s="270">
        <f>K30+K31</f>
        <v>204935.54999999996</v>
      </c>
    </row>
    <row r="33" spans="1:15">
      <c r="C33" s="51"/>
      <c r="H33" s="124" t="s">
        <v>231</v>
      </c>
      <c r="I33" s="124"/>
      <c r="J33" s="124"/>
      <c r="K33" s="271">
        <v>96120.08</v>
      </c>
    </row>
    <row r="34" spans="1:15">
      <c r="C34" s="51"/>
      <c r="H34" s="124" t="s">
        <v>232</v>
      </c>
      <c r="I34" s="124"/>
      <c r="J34" s="124"/>
      <c r="K34" s="272">
        <f>+K32+K33</f>
        <v>301055.62999999995</v>
      </c>
    </row>
    <row r="35" spans="1:15" ht="10.5" customHeight="1">
      <c r="G35" s="273"/>
    </row>
    <row r="36" spans="1:15">
      <c r="A36" s="274" t="s">
        <v>233</v>
      </c>
      <c r="B36" s="273"/>
      <c r="C36" s="275"/>
      <c r="D36" s="273"/>
      <c r="E36" s="273"/>
      <c r="F36" s="273"/>
      <c r="G36" s="163"/>
      <c r="H36" s="276" t="s">
        <v>234</v>
      </c>
      <c r="I36" s="276" t="s">
        <v>208</v>
      </c>
      <c r="J36" s="276" t="s">
        <v>235</v>
      </c>
      <c r="K36" s="276" t="s">
        <v>236</v>
      </c>
    </row>
    <row r="37" spans="1:15">
      <c r="D37" s="239" t="s">
        <v>165</v>
      </c>
      <c r="E37" s="277" t="s">
        <v>164</v>
      </c>
      <c r="F37" s="232" t="s">
        <v>237</v>
      </c>
      <c r="H37" s="23" t="s">
        <v>31</v>
      </c>
      <c r="I37" s="259">
        <f>+K30</f>
        <v>204732.89999999997</v>
      </c>
      <c r="J37" s="259">
        <f>+C22</f>
        <v>4726.7</v>
      </c>
      <c r="K37" s="278">
        <f t="shared" ref="K37:K42" si="3">+I37/J37</f>
        <v>43.314130365794313</v>
      </c>
    </row>
    <row r="38" spans="1:15">
      <c r="A38" s="180" t="s">
        <v>238</v>
      </c>
      <c r="B38" s="31"/>
      <c r="C38" s="32"/>
      <c r="D38" s="26">
        <v>170</v>
      </c>
      <c r="E38" s="31">
        <v>170</v>
      </c>
      <c r="F38" s="23">
        <f>+D38-E38</f>
        <v>0</v>
      </c>
      <c r="H38" s="279" t="s">
        <v>34</v>
      </c>
      <c r="I38" s="280">
        <f>+K30</f>
        <v>204732.89999999997</v>
      </c>
      <c r="J38" s="280">
        <f>+C23</f>
        <v>3434.43</v>
      </c>
      <c r="K38" s="281">
        <f t="shared" si="3"/>
        <v>59.611900664739117</v>
      </c>
      <c r="M38" s="55"/>
    </row>
    <row r="39" spans="1:15">
      <c r="A39" s="120" t="s">
        <v>239</v>
      </c>
      <c r="B39" s="14"/>
      <c r="C39" s="39"/>
      <c r="D39" s="4">
        <f>13*32+29-29</f>
        <v>416</v>
      </c>
      <c r="E39" s="14">
        <f>340-32-25</f>
        <v>283</v>
      </c>
      <c r="F39" s="23">
        <f>+D39-E39</f>
        <v>133</v>
      </c>
      <c r="H39" s="23" t="s">
        <v>23</v>
      </c>
      <c r="I39" s="259">
        <f>+I38</f>
        <v>204732.89999999997</v>
      </c>
      <c r="J39" s="259">
        <f>+C24</f>
        <v>2984.45</v>
      </c>
      <c r="K39" s="278">
        <f t="shared" si="3"/>
        <v>68.59987602405802</v>
      </c>
      <c r="L39" s="55"/>
      <c r="M39" s="55"/>
      <c r="O39" s="55"/>
    </row>
    <row r="40" spans="1:15">
      <c r="A40" s="120" t="s">
        <v>240</v>
      </c>
      <c r="B40" s="14"/>
      <c r="C40" s="39"/>
      <c r="D40" s="4">
        <v>29</v>
      </c>
      <c r="E40" s="14">
        <v>32</v>
      </c>
      <c r="F40" s="23">
        <f>+D40-E40</f>
        <v>-3</v>
      </c>
      <c r="H40" s="279" t="s">
        <v>24</v>
      </c>
      <c r="I40" s="280">
        <f>+I39</f>
        <v>204732.89999999997</v>
      </c>
      <c r="J40" s="280">
        <f>+C25</f>
        <v>2121.65</v>
      </c>
      <c r="K40" s="281">
        <f t="shared" si="3"/>
        <v>96.497018829684421</v>
      </c>
      <c r="M40" s="55"/>
    </row>
    <row r="41" spans="1:15">
      <c r="A41" s="120" t="s">
        <v>241</v>
      </c>
      <c r="B41" s="14"/>
      <c r="C41" s="39"/>
      <c r="D41" s="4">
        <v>195</v>
      </c>
      <c r="E41" s="14">
        <v>171</v>
      </c>
      <c r="F41" s="23">
        <f>+D41-E41</f>
        <v>24</v>
      </c>
      <c r="H41" s="23" t="s">
        <v>22</v>
      </c>
      <c r="I41" s="259">
        <f>+I40</f>
        <v>204732.89999999997</v>
      </c>
      <c r="J41" s="259">
        <f>+C26</f>
        <v>1823.15</v>
      </c>
      <c r="K41" s="278">
        <f t="shared" si="3"/>
        <v>112.29624550914623</v>
      </c>
      <c r="M41" s="55"/>
      <c r="N41" s="55"/>
    </row>
    <row r="42" spans="1:15">
      <c r="A42" s="120" t="s">
        <v>242</v>
      </c>
      <c r="B42" s="14"/>
      <c r="C42" s="39"/>
      <c r="D42" s="4">
        <f>170-26</f>
        <v>144</v>
      </c>
      <c r="E42" s="14">
        <f>132-32</f>
        <v>100</v>
      </c>
      <c r="F42" s="23">
        <f>+D42-E42</f>
        <v>44</v>
      </c>
      <c r="H42" s="279" t="s">
        <v>45</v>
      </c>
      <c r="I42" s="280">
        <f>I41</f>
        <v>204732.89999999997</v>
      </c>
      <c r="J42" s="280">
        <v>1567.95</v>
      </c>
      <c r="K42" s="281">
        <f t="shared" si="3"/>
        <v>130.57361523007745</v>
      </c>
    </row>
    <row r="43" spans="1:15">
      <c r="A43" s="282" t="s">
        <v>176</v>
      </c>
      <c r="B43" s="283"/>
      <c r="C43" s="284"/>
      <c r="D43" s="244">
        <f>SUM(D38:D42)</f>
        <v>954</v>
      </c>
      <c r="E43" s="285">
        <f>SUM(E38:E42)</f>
        <v>756</v>
      </c>
      <c r="F43" s="249">
        <f>SUM(F38:F42)</f>
        <v>198</v>
      </c>
    </row>
    <row r="44" spans="1:15">
      <c r="A44" s="120" t="s">
        <v>243</v>
      </c>
      <c r="B44" s="14"/>
      <c r="C44" s="39"/>
      <c r="D44" s="4">
        <v>0</v>
      </c>
      <c r="E44" s="14">
        <f>192</f>
        <v>192</v>
      </c>
      <c r="F44" s="23">
        <f>+D44-E44</f>
        <v>-192</v>
      </c>
      <c r="G44" s="286" t="s">
        <v>234</v>
      </c>
      <c r="H44" s="287" t="s">
        <v>208</v>
      </c>
      <c r="I44" s="287" t="s">
        <v>244</v>
      </c>
      <c r="J44" s="287" t="s">
        <v>245</v>
      </c>
      <c r="K44" s="287" t="s">
        <v>246</v>
      </c>
      <c r="L44" s="287" t="s">
        <v>202</v>
      </c>
      <c r="M44" s="287"/>
    </row>
    <row r="45" spans="1:15">
      <c r="A45" s="282" t="s">
        <v>176</v>
      </c>
      <c r="B45" s="283"/>
      <c r="C45" s="284"/>
      <c r="D45" s="244">
        <f>D43+D44</f>
        <v>954</v>
      </c>
      <c r="E45" s="283">
        <f>E43+E44</f>
        <v>948</v>
      </c>
      <c r="F45" s="239">
        <f>F43+F44</f>
        <v>6</v>
      </c>
      <c r="G45" s="23" t="s">
        <v>45</v>
      </c>
      <c r="H45" s="259">
        <f>I45*J45</f>
        <v>101916.75</v>
      </c>
      <c r="I45" s="259">
        <v>1567.95</v>
      </c>
      <c r="J45" s="288">
        <v>65</v>
      </c>
      <c r="K45" s="288">
        <v>65</v>
      </c>
      <c r="L45" s="289">
        <f>J45-K45</f>
        <v>0</v>
      </c>
      <c r="M45" s="259">
        <f>I45*K45</f>
        <v>101916.75</v>
      </c>
    </row>
    <row r="46" spans="1:15">
      <c r="A46" s="290" t="s">
        <v>247</v>
      </c>
      <c r="B46" s="266"/>
      <c r="C46" s="291"/>
      <c r="D46" s="292">
        <v>954</v>
      </c>
      <c r="E46" s="266">
        <v>954</v>
      </c>
      <c r="F46" s="23">
        <f>+D46-E46</f>
        <v>0</v>
      </c>
      <c r="G46" s="23" t="s">
        <v>45</v>
      </c>
      <c r="H46" s="259">
        <f>I46*J46</f>
        <v>103484.7</v>
      </c>
      <c r="I46" s="259">
        <v>1567.95</v>
      </c>
      <c r="J46" s="288">
        <v>66</v>
      </c>
      <c r="K46" s="288">
        <v>66</v>
      </c>
      <c r="L46" s="289">
        <f>J46-K46</f>
        <v>0</v>
      </c>
      <c r="M46" s="259">
        <f>I46*K46</f>
        <v>103484.7</v>
      </c>
    </row>
    <row r="47" spans="1:15">
      <c r="A47" s="282" t="s">
        <v>248</v>
      </c>
      <c r="B47" s="283"/>
      <c r="C47" s="284"/>
      <c r="D47" s="244">
        <f>+D46-D45</f>
        <v>0</v>
      </c>
      <c r="E47" s="283">
        <f>+E46-E45</f>
        <v>6</v>
      </c>
      <c r="F47" s="239">
        <f>+F46-F45</f>
        <v>-6</v>
      </c>
      <c r="G47" s="293" t="s">
        <v>45</v>
      </c>
      <c r="H47" s="259">
        <f>+K34-H45-H46</f>
        <v>95654.179999999949</v>
      </c>
      <c r="I47" s="259">
        <v>1567.95</v>
      </c>
      <c r="J47" s="289">
        <f>H47/I47</f>
        <v>61.005886667304409</v>
      </c>
      <c r="K47" s="288">
        <v>61</v>
      </c>
      <c r="L47" s="289">
        <f>J47-K47</f>
        <v>5.8866673044093432E-3</v>
      </c>
      <c r="M47" s="259">
        <f>I47*K47</f>
        <v>95644.95</v>
      </c>
    </row>
    <row r="48" spans="1:15">
      <c r="A48" s="266"/>
      <c r="B48" s="266"/>
      <c r="C48" s="266"/>
      <c r="D48" s="266"/>
      <c r="E48" s="266"/>
      <c r="F48" s="257"/>
      <c r="G48" s="23" t="s">
        <v>169</v>
      </c>
      <c r="H48" s="294">
        <f>SUM(H45:H47)</f>
        <v>301055.62999999995</v>
      </c>
      <c r="I48" s="259"/>
      <c r="J48" s="295">
        <f>SUM(J45:J47)</f>
        <v>192.00588666730442</v>
      </c>
      <c r="K48" s="296">
        <f>SUM(K45:K47)</f>
        <v>192</v>
      </c>
      <c r="L48" s="297">
        <f>SUM(L45:L47)</f>
        <v>5.8866673044093432E-3</v>
      </c>
      <c r="M48" s="259">
        <f>SUM(M45:M47)</f>
        <v>301046.40000000002</v>
      </c>
    </row>
    <row r="49" spans="1:13" ht="9" customHeight="1"/>
    <row r="50" spans="1:13">
      <c r="F50" s="55"/>
      <c r="G50" s="298" t="s">
        <v>249</v>
      </c>
      <c r="H50" s="299"/>
      <c r="I50" s="299"/>
      <c r="J50" s="300"/>
      <c r="K50" s="301"/>
      <c r="L50" s="302"/>
      <c r="M50" s="303">
        <v>301055.63</v>
      </c>
    </row>
    <row r="51" spans="1:13">
      <c r="A51" s="459" t="s">
        <v>106</v>
      </c>
      <c r="B51" s="459"/>
      <c r="C51" s="459"/>
      <c r="D51" s="459"/>
      <c r="F51" s="191"/>
      <c r="G51" s="298" t="s">
        <v>250</v>
      </c>
      <c r="H51" s="299"/>
      <c r="I51" s="299"/>
      <c r="J51" s="300"/>
      <c r="K51" s="301"/>
      <c r="L51" s="302"/>
      <c r="M51" s="303">
        <f>M50-M48</f>
        <v>9.2299999999813735</v>
      </c>
    </row>
    <row r="52" spans="1:13" ht="21">
      <c r="A52" s="2" t="s">
        <v>0</v>
      </c>
      <c r="K52" s="255"/>
      <c r="L52" s="255"/>
      <c r="M52" s="256"/>
    </row>
    <row r="53" spans="1:13" ht="21">
      <c r="A53" s="2"/>
    </row>
    <row r="54" spans="1:13" ht="21">
      <c r="A54" s="428" t="s">
        <v>251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8"/>
    </row>
    <row r="56" spans="1:13">
      <c r="A56" s="460" t="s">
        <v>4</v>
      </c>
      <c r="B56" s="460"/>
      <c r="C56" s="460"/>
      <c r="D56" s="460"/>
      <c r="F56" s="460" t="s">
        <v>206</v>
      </c>
      <c r="G56" s="460"/>
      <c r="H56" s="460"/>
      <c r="I56" s="460"/>
    </row>
    <row r="57" spans="1:13">
      <c r="C57" s="51"/>
      <c r="L57" s="55"/>
    </row>
    <row r="58" spans="1:13">
      <c r="A58" s="433" t="s">
        <v>207</v>
      </c>
      <c r="B58" s="433"/>
      <c r="C58" s="433"/>
      <c r="D58" s="433"/>
      <c r="F58" s="433" t="s">
        <v>207</v>
      </c>
      <c r="G58" s="433"/>
      <c r="H58" s="433"/>
      <c r="I58" s="433"/>
      <c r="K58" s="304" t="s">
        <v>208</v>
      </c>
    </row>
    <row r="59" spans="1:13">
      <c r="A59" s="257"/>
      <c r="B59" s="257"/>
      <c r="C59" s="257"/>
      <c r="D59" s="257"/>
      <c r="F59" s="257"/>
      <c r="G59" s="257"/>
      <c r="H59" s="257"/>
      <c r="I59" s="257"/>
    </row>
    <row r="60" spans="1:13">
      <c r="A60" s="258" t="s">
        <v>209</v>
      </c>
      <c r="B60" s="239" t="s">
        <v>210</v>
      </c>
      <c r="C60" s="258" t="s">
        <v>211</v>
      </c>
      <c r="D60" s="258" t="s">
        <v>212</v>
      </c>
      <c r="E60" s="14"/>
      <c r="F60" s="258" t="s">
        <v>209</v>
      </c>
      <c r="G60" s="239" t="s">
        <v>210</v>
      </c>
      <c r="H60" s="258" t="s">
        <v>211</v>
      </c>
      <c r="I60" s="258" t="s">
        <v>212</v>
      </c>
      <c r="K60" s="258" t="s">
        <v>212</v>
      </c>
    </row>
    <row r="61" spans="1:13">
      <c r="A61" s="41" t="s">
        <v>213</v>
      </c>
      <c r="B61" s="23">
        <v>3</v>
      </c>
      <c r="C61" s="41">
        <v>11686.76</v>
      </c>
      <c r="D61" s="259">
        <f>B61*C61</f>
        <v>35060.28</v>
      </c>
      <c r="F61" s="41" t="s">
        <v>213</v>
      </c>
      <c r="G61" s="260">
        <f>2+1</f>
        <v>3</v>
      </c>
      <c r="H61" s="41">
        <v>11686.76</v>
      </c>
      <c r="I61" s="259">
        <f>G61*H61</f>
        <v>35060.28</v>
      </c>
      <c r="J61" s="1" t="s">
        <v>214</v>
      </c>
      <c r="K61" s="259">
        <f>D61-I61</f>
        <v>0</v>
      </c>
    </row>
    <row r="62" spans="1:13">
      <c r="A62" s="41" t="s">
        <v>215</v>
      </c>
      <c r="B62" s="23">
        <v>77</v>
      </c>
      <c r="C62" s="41">
        <v>10352.52</v>
      </c>
      <c r="D62" s="259">
        <f>B62*C62</f>
        <v>797144.04</v>
      </c>
      <c r="F62" s="41" t="s">
        <v>215</v>
      </c>
      <c r="G62" s="260">
        <f>4+7+35+34</f>
        <v>80</v>
      </c>
      <c r="H62" s="41">
        <v>10352.52</v>
      </c>
      <c r="I62" s="259">
        <f>G62*H62</f>
        <v>828201.60000000009</v>
      </c>
      <c r="J62" s="1" t="s">
        <v>214</v>
      </c>
      <c r="K62" s="259">
        <f>D62-I62</f>
        <v>-31057.560000000056</v>
      </c>
    </row>
    <row r="63" spans="1:13">
      <c r="A63" s="41" t="s">
        <v>216</v>
      </c>
      <c r="B63" s="23">
        <v>13</v>
      </c>
      <c r="C63" s="41">
        <v>9106.74</v>
      </c>
      <c r="D63" s="259">
        <f>B63*C63</f>
        <v>118387.62</v>
      </c>
      <c r="F63" s="41" t="s">
        <v>216</v>
      </c>
      <c r="G63" s="260">
        <f>9+4</f>
        <v>13</v>
      </c>
      <c r="H63" s="41">
        <v>9106.74</v>
      </c>
      <c r="I63" s="259">
        <f>G63*H63</f>
        <v>118387.62</v>
      </c>
      <c r="J63" s="1" t="s">
        <v>214</v>
      </c>
      <c r="K63" s="259">
        <f>D63-I63</f>
        <v>0</v>
      </c>
    </row>
    <row r="64" spans="1:13">
      <c r="A64" s="41" t="s">
        <v>217</v>
      </c>
      <c r="B64" s="23">
        <v>3</v>
      </c>
      <c r="C64" s="41">
        <v>7945.86</v>
      </c>
      <c r="D64" s="259">
        <f>B64*C64</f>
        <v>23837.579999999998</v>
      </c>
      <c r="F64" s="41" t="s">
        <v>217</v>
      </c>
      <c r="G64" s="260">
        <f>2+1</f>
        <v>3</v>
      </c>
      <c r="H64" s="75">
        <v>7945.86</v>
      </c>
      <c r="I64" s="305">
        <f>G64*H64</f>
        <v>23837.579999999998</v>
      </c>
      <c r="J64" s="134" t="s">
        <v>214</v>
      </c>
      <c r="K64" s="259">
        <f>D64-I64</f>
        <v>0</v>
      </c>
    </row>
    <row r="65" spans="1:13">
      <c r="A65" s="148" t="s">
        <v>176</v>
      </c>
      <c r="B65" s="239">
        <f>SUM(B61:B64)</f>
        <v>96</v>
      </c>
      <c r="C65" s="41"/>
      <c r="D65" s="148">
        <f>SUM(D61:D64)</f>
        <v>974429.52</v>
      </c>
      <c r="F65" s="148" t="s">
        <v>176</v>
      </c>
      <c r="G65" s="277">
        <f>SUM(G61:G64)</f>
        <v>99</v>
      </c>
      <c r="H65" s="41"/>
      <c r="I65" s="148">
        <f>SUM(I61:I64)</f>
        <v>1005487.0800000001</v>
      </c>
      <c r="K65" s="265">
        <f>SUM(K61:K64)</f>
        <v>-31057.560000000056</v>
      </c>
    </row>
    <row r="67" spans="1:13">
      <c r="A67" s="433" t="s">
        <v>221</v>
      </c>
      <c r="B67" s="433"/>
      <c r="C67" s="433"/>
      <c r="D67" s="433"/>
      <c r="F67" s="433" t="s">
        <v>221</v>
      </c>
      <c r="G67" s="433"/>
      <c r="H67" s="433"/>
      <c r="I67" s="433"/>
      <c r="K67" s="304" t="s">
        <v>208</v>
      </c>
    </row>
    <row r="68" spans="1:13">
      <c r="C68" s="51"/>
      <c r="H68" s="51"/>
    </row>
    <row r="69" spans="1:13">
      <c r="A69" s="41" t="s">
        <v>222</v>
      </c>
      <c r="B69" s="23">
        <v>117</v>
      </c>
      <c r="C69" s="41">
        <v>4726.7</v>
      </c>
      <c r="D69" s="259">
        <f t="shared" ref="D69:D74" si="4">B69*C69</f>
        <v>553023.9</v>
      </c>
      <c r="F69" s="41" t="s">
        <v>222</v>
      </c>
      <c r="G69" s="260">
        <f>12+5</f>
        <v>17</v>
      </c>
      <c r="H69" s="41">
        <v>4726.7</v>
      </c>
      <c r="I69" s="259">
        <f t="shared" ref="I69:I74" si="5">G69*H69</f>
        <v>80353.899999999994</v>
      </c>
      <c r="J69" s="1" t="s">
        <v>214</v>
      </c>
      <c r="K69" s="259">
        <f t="shared" ref="K69:K74" si="6">D69-I69</f>
        <v>472670</v>
      </c>
    </row>
    <row r="70" spans="1:13">
      <c r="A70" s="41" t="s">
        <v>223</v>
      </c>
      <c r="B70" s="23">
        <v>106</v>
      </c>
      <c r="C70" s="41">
        <v>3434.43</v>
      </c>
      <c r="D70" s="259">
        <f t="shared" si="4"/>
        <v>364049.57999999996</v>
      </c>
      <c r="F70" s="41" t="s">
        <v>223</v>
      </c>
      <c r="G70" s="260">
        <f>37+1+23+104+102+2</f>
        <v>269</v>
      </c>
      <c r="H70" s="41">
        <v>3434.43</v>
      </c>
      <c r="I70" s="259">
        <f t="shared" si="5"/>
        <v>923861.66999999993</v>
      </c>
      <c r="J70" s="1" t="s">
        <v>214</v>
      </c>
      <c r="K70" s="259">
        <f t="shared" si="6"/>
        <v>-559812.09</v>
      </c>
    </row>
    <row r="71" spans="1:13">
      <c r="A71" s="41" t="s">
        <v>224</v>
      </c>
      <c r="B71" s="23">
        <v>29</v>
      </c>
      <c r="C71" s="41">
        <v>2984.45</v>
      </c>
      <c r="D71" s="259">
        <f t="shared" si="4"/>
        <v>86549.049999999988</v>
      </c>
      <c r="F71" s="41" t="s">
        <v>224</v>
      </c>
      <c r="G71" s="260">
        <f>100+28+8+2</f>
        <v>138</v>
      </c>
      <c r="H71" s="41">
        <v>2984.45</v>
      </c>
      <c r="I71" s="259">
        <f t="shared" si="5"/>
        <v>411854.1</v>
      </c>
      <c r="J71" s="1" t="s">
        <v>214</v>
      </c>
      <c r="K71" s="259">
        <f t="shared" si="6"/>
        <v>-325305.05</v>
      </c>
    </row>
    <row r="72" spans="1:13">
      <c r="A72" s="41" t="s">
        <v>225</v>
      </c>
      <c r="B72" s="23">
        <v>375</v>
      </c>
      <c r="C72" s="41">
        <v>2121.65</v>
      </c>
      <c r="D72" s="259">
        <f t="shared" si="4"/>
        <v>795618.75</v>
      </c>
      <c r="F72" s="41" t="s">
        <v>225</v>
      </c>
      <c r="G72" s="260">
        <f>85-2+44+34</f>
        <v>161</v>
      </c>
      <c r="H72" s="41">
        <v>2121.65</v>
      </c>
      <c r="I72" s="259">
        <f t="shared" si="5"/>
        <v>341585.65</v>
      </c>
      <c r="J72" s="134" t="s">
        <v>214</v>
      </c>
      <c r="K72" s="259">
        <f t="shared" si="6"/>
        <v>454033.1</v>
      </c>
    </row>
    <row r="73" spans="1:13">
      <c r="A73" s="41" t="s">
        <v>226</v>
      </c>
      <c r="B73" s="23">
        <v>0</v>
      </c>
      <c r="C73" s="41">
        <v>1823.15</v>
      </c>
      <c r="D73" s="259">
        <f t="shared" si="4"/>
        <v>0</v>
      </c>
      <c r="F73" s="267" t="s">
        <v>226</v>
      </c>
      <c r="G73" s="260">
        <v>63</v>
      </c>
      <c r="H73" s="41">
        <v>1823.15</v>
      </c>
      <c r="I73" s="259">
        <f t="shared" si="5"/>
        <v>114858.45000000001</v>
      </c>
      <c r="J73" s="134" t="s">
        <v>214</v>
      </c>
      <c r="K73" s="259">
        <f t="shared" si="6"/>
        <v>-114858.45000000001</v>
      </c>
    </row>
    <row r="74" spans="1:13">
      <c r="A74" s="41" t="s">
        <v>227</v>
      </c>
      <c r="B74" s="23">
        <v>231</v>
      </c>
      <c r="C74" s="41">
        <v>1567.95</v>
      </c>
      <c r="D74" s="259">
        <f t="shared" si="4"/>
        <v>362196.45</v>
      </c>
      <c r="F74" s="41" t="s">
        <v>227</v>
      </c>
      <c r="G74" s="23">
        <f>20+1+13</f>
        <v>34</v>
      </c>
      <c r="H74" s="41">
        <v>1567.95</v>
      </c>
      <c r="I74" s="259">
        <f t="shared" si="5"/>
        <v>53310.3</v>
      </c>
      <c r="J74" s="134" t="s">
        <v>214</v>
      </c>
      <c r="K74" s="259">
        <f t="shared" si="6"/>
        <v>308886.15000000002</v>
      </c>
    </row>
    <row r="75" spans="1:13">
      <c r="A75" s="148" t="s">
        <v>176</v>
      </c>
      <c r="B75" s="239">
        <f>SUM(B69:B74)</f>
        <v>858</v>
      </c>
      <c r="C75" s="268"/>
      <c r="D75" s="148">
        <f>SUM(D69:D74)</f>
        <v>2161437.73</v>
      </c>
      <c r="F75" s="148" t="s">
        <v>176</v>
      </c>
      <c r="G75" s="239">
        <f>SUM(G69:G74)</f>
        <v>682</v>
      </c>
      <c r="H75" s="268"/>
      <c r="I75" s="148">
        <f>SUM(I69:I74)</f>
        <v>1925824.0699999998</v>
      </c>
      <c r="K75" s="261">
        <f>SUM(K69:K74)</f>
        <v>235613.66000000003</v>
      </c>
      <c r="M75" s="55"/>
    </row>
    <row r="76" spans="1:13">
      <c r="A76" s="14"/>
      <c r="B76" s="45"/>
      <c r="C76" s="51"/>
      <c r="D76" s="53"/>
      <c r="F76" s="14"/>
      <c r="G76" s="14"/>
      <c r="H76" s="51"/>
      <c r="I76" s="14"/>
    </row>
    <row r="77" spans="1:13">
      <c r="A77" s="268" t="s">
        <v>228</v>
      </c>
      <c r="B77" s="239">
        <f>+B65+B75</f>
        <v>954</v>
      </c>
      <c r="C77" s="268"/>
      <c r="D77" s="148">
        <f>+D65+D75</f>
        <v>3135867.25</v>
      </c>
      <c r="F77" s="268" t="s">
        <v>228</v>
      </c>
      <c r="G77" s="239">
        <f>+G65+G75</f>
        <v>781</v>
      </c>
      <c r="H77" s="268"/>
      <c r="I77" s="148">
        <f>+I65+I75</f>
        <v>2931311.15</v>
      </c>
      <c r="K77" s="261">
        <f>+K65+K75</f>
        <v>204556.09999999998</v>
      </c>
      <c r="M77" s="55"/>
    </row>
    <row r="79" spans="1:13">
      <c r="D79" s="458" t="s">
        <v>252</v>
      </c>
      <c r="E79" s="458"/>
      <c r="F79" s="458"/>
      <c r="G79" s="458"/>
      <c r="H79" s="456" t="s">
        <v>218</v>
      </c>
      <c r="I79" s="456"/>
      <c r="J79" s="456"/>
      <c r="K79" s="306">
        <v>176.8</v>
      </c>
      <c r="M79" s="55"/>
    </row>
    <row r="80" spans="1:13">
      <c r="D80" s="457" t="s">
        <v>253</v>
      </c>
      <c r="E80" s="457"/>
      <c r="F80" s="457"/>
      <c r="G80" s="457"/>
      <c r="H80" s="307"/>
      <c r="I80" s="308"/>
      <c r="J80" s="309" t="s">
        <v>229</v>
      </c>
      <c r="K80" s="306">
        <v>11.53</v>
      </c>
    </row>
    <row r="81" spans="1:14">
      <c r="D81" s="452" t="s">
        <v>254</v>
      </c>
      <c r="E81" s="452"/>
      <c r="F81" s="452"/>
      <c r="G81" s="452"/>
      <c r="H81" s="307"/>
      <c r="I81" s="308"/>
      <c r="J81" s="309" t="s">
        <v>229</v>
      </c>
      <c r="K81" s="306">
        <v>191.12</v>
      </c>
    </row>
    <row r="83" spans="1:14">
      <c r="F83" s="456" t="s">
        <v>255</v>
      </c>
      <c r="G83" s="456"/>
      <c r="H83" s="456"/>
      <c r="I83" s="456"/>
      <c r="J83" s="456"/>
      <c r="K83" s="310">
        <f>+K77+K79+K80+K81</f>
        <v>204935.54999999996</v>
      </c>
    </row>
    <row r="84" spans="1:14">
      <c r="M84" s="232" t="s">
        <v>256</v>
      </c>
      <c r="N84" s="232" t="s">
        <v>257</v>
      </c>
    </row>
    <row r="85" spans="1:14">
      <c r="F85" s="456" t="s">
        <v>258</v>
      </c>
      <c r="G85" s="456"/>
      <c r="H85" s="456"/>
      <c r="I85" s="456"/>
      <c r="J85" s="456"/>
      <c r="K85" s="310">
        <v>-205401.45</v>
      </c>
      <c r="M85" s="41">
        <v>1567.95</v>
      </c>
      <c r="N85" s="41">
        <f>+K85/M85</f>
        <v>-131</v>
      </c>
    </row>
    <row r="87" spans="1:14">
      <c r="F87" s="456" t="s">
        <v>259</v>
      </c>
      <c r="G87" s="456"/>
      <c r="H87" s="456"/>
      <c r="I87" s="456"/>
      <c r="J87" s="456"/>
      <c r="K87" s="311">
        <f>+K83+K85</f>
        <v>-465.90000000005239</v>
      </c>
    </row>
    <row r="89" spans="1:14">
      <c r="F89" s="456" t="s">
        <v>258</v>
      </c>
      <c r="G89" s="456"/>
      <c r="H89" s="456"/>
      <c r="I89" s="456"/>
      <c r="J89" s="456"/>
      <c r="K89" s="310">
        <v>96120.08</v>
      </c>
    </row>
    <row r="91" spans="1:14">
      <c r="F91" s="456" t="s">
        <v>260</v>
      </c>
      <c r="G91" s="456"/>
      <c r="H91" s="456"/>
      <c r="I91" s="456"/>
      <c r="J91" s="456"/>
      <c r="K91" s="311">
        <f>+K87+K89</f>
        <v>95654.179999999949</v>
      </c>
    </row>
    <row r="92" spans="1:14">
      <c r="M92" s="232" t="s">
        <v>256</v>
      </c>
      <c r="N92" s="232" t="s">
        <v>261</v>
      </c>
    </row>
    <row r="93" spans="1:14">
      <c r="F93" s="456" t="s">
        <v>258</v>
      </c>
      <c r="G93" s="456"/>
      <c r="H93" s="456"/>
      <c r="I93" s="456"/>
      <c r="J93" s="456"/>
      <c r="K93" s="310">
        <f>+M93*N93</f>
        <v>-95644.95</v>
      </c>
      <c r="M93" s="41">
        <v>1567.95</v>
      </c>
      <c r="N93" s="41">
        <v>-61</v>
      </c>
    </row>
    <row r="95" spans="1:14">
      <c r="A95" s="312" t="s">
        <v>262</v>
      </c>
      <c r="B95" s="313"/>
      <c r="C95" s="314"/>
      <c r="F95" s="456" t="s">
        <v>263</v>
      </c>
      <c r="G95" s="456"/>
      <c r="H95" s="456"/>
      <c r="I95" s="456"/>
      <c r="J95" s="456"/>
      <c r="K95" s="311">
        <f>+K91+K93</f>
        <v>9.2299999999522697</v>
      </c>
      <c r="M95" s="315"/>
      <c r="N95" s="315"/>
    </row>
    <row r="96" spans="1:14">
      <c r="M96" s="51"/>
      <c r="N96" s="51"/>
    </row>
    <row r="98" spans="14:14">
      <c r="N98" s="55"/>
    </row>
  </sheetData>
  <sheetProtection selectLockedCells="1" selectUnlockedCells="1"/>
  <mergeCells count="27">
    <mergeCell ref="H18:J18"/>
    <mergeCell ref="A3:M3"/>
    <mergeCell ref="A5:D5"/>
    <mergeCell ref="F5:I5"/>
    <mergeCell ref="A7:D7"/>
    <mergeCell ref="F7:I7"/>
    <mergeCell ref="A20:D20"/>
    <mergeCell ref="F20:I20"/>
    <mergeCell ref="A51:D51"/>
    <mergeCell ref="A54:M54"/>
    <mergeCell ref="A56:D56"/>
    <mergeCell ref="F56:I56"/>
    <mergeCell ref="A58:D58"/>
    <mergeCell ref="F58:I58"/>
    <mergeCell ref="A67:D67"/>
    <mergeCell ref="F67:I67"/>
    <mergeCell ref="D79:G79"/>
    <mergeCell ref="H79:J79"/>
    <mergeCell ref="F91:J91"/>
    <mergeCell ref="F93:J93"/>
    <mergeCell ref="F95:J95"/>
    <mergeCell ref="D80:G80"/>
    <mergeCell ref="D81:G81"/>
    <mergeCell ref="F83:J83"/>
    <mergeCell ref="F85:J85"/>
    <mergeCell ref="F87:J87"/>
    <mergeCell ref="F89:J89"/>
  </mergeCells>
  <printOptions horizontalCentered="1" verticalCentered="1"/>
  <pageMargins left="0.39374999999999999" right="0.39374999999999999" top="0.78749999999999998" bottom="0.59097222222222223" header="0.51180555555555551" footer="0.31527777777777777"/>
  <pageSetup paperSize="9" scale="69" firstPageNumber="0" orientation="landscape" horizontalDpi="300" verticalDpi="300" r:id="rId1"/>
  <headerFooter alignWithMargins="0">
    <oddFooter>&amp;C&amp;"Calibri,Regular"&amp;11&amp;P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07"/>
  <sheetViews>
    <sheetView view="pageBreakPreview" topLeftCell="A69" zoomScale="90" zoomScaleSheetLayoutView="90" workbookViewId="0">
      <selection activeCell="A100" sqref="A100"/>
    </sheetView>
  </sheetViews>
  <sheetFormatPr defaultColWidth="9.42578125" defaultRowHeight="15"/>
  <cols>
    <col min="1" max="1" width="10.5703125" style="1" customWidth="1"/>
    <col min="2" max="2" width="39.7109375" style="1" customWidth="1"/>
    <col min="3" max="3" width="9.42578125" style="1"/>
    <col min="4" max="4" width="13.28515625" style="1" customWidth="1"/>
    <col min="5" max="5" width="11.7109375" style="1" customWidth="1"/>
    <col min="6" max="6" width="12.7109375" style="1" customWidth="1"/>
    <col min="7" max="7" width="14.28515625" style="1" customWidth="1"/>
    <col min="8" max="8" width="56.140625" style="1" customWidth="1"/>
    <col min="9" max="9" width="39.7109375" style="1" customWidth="1"/>
    <col min="10" max="10" width="9.42578125" style="1"/>
    <col min="11" max="11" width="14.85546875" style="1" customWidth="1"/>
    <col min="12" max="16384" width="9.42578125" style="1"/>
  </cols>
  <sheetData>
    <row r="1" spans="1:13" ht="21">
      <c r="A1" s="2" t="s">
        <v>0</v>
      </c>
      <c r="K1" s="256"/>
    </row>
    <row r="2" spans="1:13" ht="21">
      <c r="A2" s="2"/>
    </row>
    <row r="3" spans="1:13" ht="21">
      <c r="A3" s="316"/>
    </row>
    <row r="4" spans="1:13" ht="21">
      <c r="A4" s="428" t="s">
        <v>264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</row>
    <row r="5" spans="1:13">
      <c r="L5" s="317"/>
      <c r="M5" s="317"/>
    </row>
    <row r="6" spans="1:13" ht="15.75">
      <c r="A6" s="469" t="s">
        <v>265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</row>
    <row r="7" spans="1:13" ht="15.75">
      <c r="A7" s="469" t="s">
        <v>266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</row>
    <row r="8" spans="1:13" hidden="1">
      <c r="A8" s="479" t="s">
        <v>267</v>
      </c>
      <c r="B8" s="479"/>
      <c r="C8" s="479"/>
      <c r="D8" s="479"/>
      <c r="E8" s="479"/>
      <c r="F8" s="479"/>
      <c r="G8" s="479"/>
      <c r="H8" s="320"/>
      <c r="I8" s="319" t="s">
        <v>268</v>
      </c>
      <c r="J8" s="319" t="s">
        <v>163</v>
      </c>
      <c r="K8" s="321" t="s">
        <v>12</v>
      </c>
    </row>
    <row r="9" spans="1:13" ht="12.75" hidden="1" customHeight="1">
      <c r="A9" s="476" t="s">
        <v>139</v>
      </c>
      <c r="B9" s="476"/>
      <c r="C9" s="476"/>
      <c r="D9" s="476"/>
      <c r="E9" s="476"/>
      <c r="F9" s="476"/>
      <c r="G9" s="476"/>
      <c r="H9" s="322"/>
      <c r="I9" s="42" t="s">
        <v>44</v>
      </c>
      <c r="J9" s="40" t="s">
        <v>22</v>
      </c>
      <c r="K9" s="108">
        <v>1</v>
      </c>
    </row>
    <row r="10" spans="1:13" ht="12.75" hidden="1" customHeight="1">
      <c r="A10" s="476" t="s">
        <v>269</v>
      </c>
      <c r="B10" s="476"/>
      <c r="C10" s="476"/>
      <c r="D10" s="476"/>
      <c r="E10" s="476"/>
      <c r="F10" s="476"/>
      <c r="G10" s="476"/>
      <c r="H10" s="323"/>
      <c r="I10" s="176" t="s">
        <v>44</v>
      </c>
      <c r="J10" s="23" t="s">
        <v>22</v>
      </c>
      <c r="K10" s="104">
        <v>3</v>
      </c>
    </row>
    <row r="11" spans="1:13" ht="12.75" hidden="1" customHeight="1">
      <c r="A11" s="476" t="s">
        <v>146</v>
      </c>
      <c r="B11" s="476"/>
      <c r="C11" s="476"/>
      <c r="D11" s="476"/>
      <c r="E11" s="476"/>
      <c r="F11" s="476"/>
      <c r="G11" s="476"/>
      <c r="H11" s="323"/>
      <c r="I11" s="176" t="s">
        <v>44</v>
      </c>
      <c r="J11" s="23" t="s">
        <v>22</v>
      </c>
      <c r="K11" s="104">
        <v>5</v>
      </c>
    </row>
    <row r="12" spans="1:13" ht="12.75" hidden="1" customHeight="1">
      <c r="A12" s="476" t="s">
        <v>144</v>
      </c>
      <c r="B12" s="476"/>
      <c r="C12" s="476"/>
      <c r="D12" s="476"/>
      <c r="E12" s="476"/>
      <c r="F12" s="476"/>
      <c r="G12" s="476"/>
      <c r="H12" s="323"/>
      <c r="I12" s="176" t="s">
        <v>270</v>
      </c>
      <c r="J12" s="23" t="s">
        <v>23</v>
      </c>
      <c r="K12" s="104">
        <v>4</v>
      </c>
    </row>
    <row r="13" spans="1:13" ht="12.75" hidden="1" customHeight="1">
      <c r="A13" s="476" t="s">
        <v>271</v>
      </c>
      <c r="B13" s="476"/>
      <c r="C13" s="476"/>
      <c r="D13" s="476"/>
      <c r="E13" s="476"/>
      <c r="F13" s="476"/>
      <c r="G13" s="476"/>
      <c r="H13" s="323"/>
      <c r="I13" s="176" t="s">
        <v>270</v>
      </c>
      <c r="J13" s="23" t="s">
        <v>23</v>
      </c>
      <c r="K13" s="104">
        <v>2</v>
      </c>
      <c r="L13" s="324"/>
      <c r="M13" s="324"/>
    </row>
    <row r="14" spans="1:13" ht="12.75" hidden="1" customHeight="1">
      <c r="A14" s="476" t="s">
        <v>272</v>
      </c>
      <c r="B14" s="476"/>
      <c r="C14" s="476"/>
      <c r="D14" s="476"/>
      <c r="E14" s="476"/>
      <c r="F14" s="476"/>
      <c r="G14" s="476"/>
      <c r="H14" s="323"/>
      <c r="I14" s="176" t="s">
        <v>270</v>
      </c>
      <c r="J14" s="23" t="s">
        <v>23</v>
      </c>
      <c r="K14" s="104">
        <v>1</v>
      </c>
    </row>
    <row r="15" spans="1:13" ht="12.75" hidden="1" customHeight="1">
      <c r="A15" s="476" t="s">
        <v>273</v>
      </c>
      <c r="B15" s="476"/>
      <c r="C15" s="476"/>
      <c r="D15" s="476"/>
      <c r="E15" s="476"/>
      <c r="F15" s="476"/>
      <c r="G15" s="476"/>
      <c r="H15" s="323"/>
      <c r="I15" s="176" t="s">
        <v>270</v>
      </c>
      <c r="J15" s="23" t="s">
        <v>23</v>
      </c>
      <c r="K15" s="104">
        <v>2</v>
      </c>
    </row>
    <row r="16" spans="1:13" ht="12.75" hidden="1" customHeight="1">
      <c r="A16" s="476" t="s">
        <v>274</v>
      </c>
      <c r="B16" s="476"/>
      <c r="C16" s="476"/>
      <c r="D16" s="476"/>
      <c r="E16" s="476"/>
      <c r="F16" s="476"/>
      <c r="G16" s="476"/>
      <c r="H16" s="323"/>
      <c r="I16" s="176" t="s">
        <v>270</v>
      </c>
      <c r="J16" s="23" t="s">
        <v>23</v>
      </c>
      <c r="K16" s="104">
        <v>2</v>
      </c>
    </row>
    <row r="17" spans="1:13" ht="12.75" hidden="1" customHeight="1">
      <c r="A17" s="476" t="s">
        <v>275</v>
      </c>
      <c r="B17" s="476"/>
      <c r="C17" s="476"/>
      <c r="D17" s="476"/>
      <c r="E17" s="476"/>
      <c r="F17" s="476"/>
      <c r="G17" s="476"/>
      <c r="H17" s="323"/>
      <c r="I17" s="176" t="s">
        <v>270</v>
      </c>
      <c r="J17" s="23" t="s">
        <v>23</v>
      </c>
      <c r="K17" s="104">
        <v>1</v>
      </c>
      <c r="L17" s="443"/>
      <c r="M17" s="443"/>
    </row>
    <row r="18" spans="1:13" ht="12.75" hidden="1" customHeight="1">
      <c r="A18" s="476" t="s">
        <v>276</v>
      </c>
      <c r="B18" s="476"/>
      <c r="C18" s="476"/>
      <c r="D18" s="476"/>
      <c r="E18" s="476"/>
      <c r="F18" s="476"/>
      <c r="G18" s="476"/>
      <c r="H18" s="323"/>
      <c r="I18" s="176" t="s">
        <v>270</v>
      </c>
      <c r="J18" s="23" t="s">
        <v>23</v>
      </c>
      <c r="K18" s="104">
        <v>1</v>
      </c>
    </row>
    <row r="19" spans="1:13" ht="12.75" hidden="1" customHeight="1">
      <c r="A19" s="477" t="s">
        <v>277</v>
      </c>
      <c r="B19" s="477"/>
      <c r="C19" s="477"/>
      <c r="D19" s="477"/>
      <c r="E19" s="477"/>
      <c r="F19" s="477"/>
      <c r="G19" s="477"/>
      <c r="H19" s="325"/>
      <c r="I19" s="176" t="s">
        <v>270</v>
      </c>
      <c r="J19" s="87" t="s">
        <v>23</v>
      </c>
      <c r="K19" s="104">
        <v>1</v>
      </c>
    </row>
    <row r="20" spans="1:13" ht="12.75" hidden="1" customHeight="1">
      <c r="A20" s="467" t="s">
        <v>169</v>
      </c>
      <c r="B20" s="467"/>
      <c r="C20" s="467"/>
      <c r="D20" s="467"/>
      <c r="E20" s="467"/>
      <c r="F20" s="467"/>
      <c r="G20" s="467"/>
      <c r="H20" s="467"/>
      <c r="I20" s="467"/>
      <c r="J20" s="467"/>
      <c r="K20" s="240">
        <f>SUM(K9:K19)</f>
        <v>23</v>
      </c>
    </row>
    <row r="22" spans="1:13" ht="12.75" hidden="1" customHeight="1">
      <c r="A22" s="478" t="s">
        <v>278</v>
      </c>
      <c r="B22" s="478"/>
      <c r="C22" s="478"/>
      <c r="D22" s="478"/>
      <c r="E22" s="478"/>
      <c r="F22" s="478"/>
      <c r="G22" s="478"/>
      <c r="H22" s="478"/>
      <c r="I22" s="478"/>
      <c r="J22" s="478"/>
      <c r="K22" s="478"/>
    </row>
    <row r="24" spans="1:13" ht="17.850000000000001" customHeight="1">
      <c r="A24" s="470" t="s">
        <v>279</v>
      </c>
      <c r="B24" s="471" t="s">
        <v>280</v>
      </c>
      <c r="C24" s="472" t="s">
        <v>281</v>
      </c>
      <c r="D24" s="472"/>
      <c r="E24" s="472"/>
      <c r="F24" s="472"/>
      <c r="G24" s="472"/>
      <c r="H24" s="473" t="s">
        <v>282</v>
      </c>
      <c r="I24" s="474" t="s">
        <v>283</v>
      </c>
    </row>
    <row r="25" spans="1:13">
      <c r="A25" s="470"/>
      <c r="B25" s="470"/>
      <c r="C25" s="475" t="s">
        <v>284</v>
      </c>
      <c r="D25" s="475"/>
      <c r="E25" s="475"/>
      <c r="F25" s="475"/>
      <c r="G25" s="475"/>
      <c r="H25" s="473"/>
      <c r="I25" s="474"/>
    </row>
    <row r="26" spans="1:13" ht="18.75">
      <c r="A26" s="470"/>
      <c r="B26" s="470"/>
      <c r="C26" s="326" t="s">
        <v>285</v>
      </c>
      <c r="D26" s="326" t="s">
        <v>286</v>
      </c>
      <c r="E26" s="327" t="s">
        <v>176</v>
      </c>
      <c r="F26" s="327" t="s">
        <v>287</v>
      </c>
      <c r="G26" s="328" t="s">
        <v>176</v>
      </c>
      <c r="H26" s="473"/>
      <c r="I26" s="474"/>
    </row>
    <row r="27" spans="1:13">
      <c r="A27" s="145">
        <v>1</v>
      </c>
      <c r="B27" s="1" t="s">
        <v>288</v>
      </c>
      <c r="C27" s="227">
        <v>10</v>
      </c>
      <c r="D27" s="23">
        <v>1</v>
      </c>
      <c r="E27" s="227">
        <f t="shared" ref="E27:E61" si="0">C27-D27</f>
        <v>9</v>
      </c>
      <c r="F27" s="23">
        <v>2</v>
      </c>
      <c r="G27" s="227">
        <f t="shared" ref="G27:I61" si="1">E27+F27</f>
        <v>11</v>
      </c>
      <c r="H27" s="107">
        <v>2</v>
      </c>
      <c r="I27" s="329">
        <f t="shared" si="1"/>
        <v>13</v>
      </c>
    </row>
    <row r="28" spans="1:13" ht="15" customHeight="1">
      <c r="A28" s="145">
        <v>2</v>
      </c>
      <c r="B28" s="1" t="s">
        <v>289</v>
      </c>
      <c r="C28" s="227">
        <v>10</v>
      </c>
      <c r="D28" s="23">
        <v>1</v>
      </c>
      <c r="E28" s="227">
        <f t="shared" si="0"/>
        <v>9</v>
      </c>
      <c r="F28" s="23">
        <v>2</v>
      </c>
      <c r="G28" s="227">
        <f t="shared" si="1"/>
        <v>11</v>
      </c>
      <c r="H28" s="23">
        <v>2</v>
      </c>
      <c r="I28" s="227">
        <f t="shared" si="1"/>
        <v>13</v>
      </c>
    </row>
    <row r="29" spans="1:13">
      <c r="A29" s="145">
        <v>3</v>
      </c>
      <c r="B29" s="1" t="s">
        <v>290</v>
      </c>
      <c r="C29" s="227">
        <v>10</v>
      </c>
      <c r="D29" s="23">
        <v>1</v>
      </c>
      <c r="E29" s="227">
        <f t="shared" si="0"/>
        <v>9</v>
      </c>
      <c r="F29" s="23">
        <v>2</v>
      </c>
      <c r="G29" s="227">
        <f t="shared" si="1"/>
        <v>11</v>
      </c>
      <c r="H29" s="23">
        <v>2</v>
      </c>
      <c r="I29" s="227">
        <f t="shared" si="1"/>
        <v>13</v>
      </c>
    </row>
    <row r="30" spans="1:13">
      <c r="A30" s="145">
        <v>4</v>
      </c>
      <c r="B30" s="1" t="s">
        <v>291</v>
      </c>
      <c r="C30" s="227">
        <v>10</v>
      </c>
      <c r="D30" s="23">
        <v>1</v>
      </c>
      <c r="E30" s="227">
        <f t="shared" si="0"/>
        <v>9</v>
      </c>
      <c r="F30" s="23">
        <v>2</v>
      </c>
      <c r="G30" s="227">
        <f t="shared" si="1"/>
        <v>11</v>
      </c>
      <c r="H30" s="23">
        <v>2</v>
      </c>
      <c r="I30" s="227">
        <f t="shared" si="1"/>
        <v>13</v>
      </c>
    </row>
    <row r="31" spans="1:13" ht="15" customHeight="1">
      <c r="A31" s="145">
        <v>5</v>
      </c>
      <c r="B31" s="1" t="s">
        <v>292</v>
      </c>
      <c r="C31" s="227">
        <v>10</v>
      </c>
      <c r="D31" s="23">
        <v>1</v>
      </c>
      <c r="E31" s="227">
        <f t="shared" si="0"/>
        <v>9</v>
      </c>
      <c r="F31" s="23">
        <v>2</v>
      </c>
      <c r="G31" s="227">
        <f t="shared" si="1"/>
        <v>11</v>
      </c>
      <c r="H31" s="23">
        <v>2</v>
      </c>
      <c r="I31" s="227">
        <f t="shared" si="1"/>
        <v>13</v>
      </c>
    </row>
    <row r="32" spans="1:13">
      <c r="A32" s="145">
        <v>6</v>
      </c>
      <c r="B32" s="1" t="s">
        <v>293</v>
      </c>
      <c r="C32" s="227">
        <v>10</v>
      </c>
      <c r="D32" s="23">
        <v>1</v>
      </c>
      <c r="E32" s="227">
        <f t="shared" si="0"/>
        <v>9</v>
      </c>
      <c r="F32" s="23">
        <v>2</v>
      </c>
      <c r="G32" s="227">
        <f t="shared" si="1"/>
        <v>11</v>
      </c>
      <c r="H32" s="23">
        <v>2</v>
      </c>
      <c r="I32" s="227">
        <f t="shared" si="1"/>
        <v>13</v>
      </c>
    </row>
    <row r="33" spans="1:9">
      <c r="A33" s="145">
        <v>7</v>
      </c>
      <c r="B33" s="1" t="s">
        <v>294</v>
      </c>
      <c r="C33" s="227">
        <v>10</v>
      </c>
      <c r="D33" s="23">
        <v>1</v>
      </c>
      <c r="E33" s="227">
        <f t="shared" si="0"/>
        <v>9</v>
      </c>
      <c r="F33" s="23">
        <v>2</v>
      </c>
      <c r="G33" s="227">
        <f t="shared" si="1"/>
        <v>11</v>
      </c>
      <c r="H33" s="23">
        <v>2</v>
      </c>
      <c r="I33" s="227">
        <f t="shared" si="1"/>
        <v>13</v>
      </c>
    </row>
    <row r="34" spans="1:9" ht="15" customHeight="1">
      <c r="A34" s="145">
        <v>8</v>
      </c>
      <c r="B34" s="1" t="s">
        <v>295</v>
      </c>
      <c r="C34" s="227">
        <v>10</v>
      </c>
      <c r="D34" s="23">
        <v>1</v>
      </c>
      <c r="E34" s="227">
        <f t="shared" si="0"/>
        <v>9</v>
      </c>
      <c r="F34" s="23">
        <v>2</v>
      </c>
      <c r="G34" s="227">
        <f t="shared" si="1"/>
        <v>11</v>
      </c>
      <c r="H34" s="23">
        <v>2</v>
      </c>
      <c r="I34" s="227">
        <f t="shared" si="1"/>
        <v>13</v>
      </c>
    </row>
    <row r="35" spans="1:9">
      <c r="A35" s="145">
        <v>9</v>
      </c>
      <c r="B35" s="1" t="s">
        <v>296</v>
      </c>
      <c r="C35" s="227">
        <v>10</v>
      </c>
      <c r="D35" s="23">
        <v>1</v>
      </c>
      <c r="E35" s="227">
        <f t="shared" si="0"/>
        <v>9</v>
      </c>
      <c r="F35" s="23">
        <v>2</v>
      </c>
      <c r="G35" s="227">
        <f t="shared" si="1"/>
        <v>11</v>
      </c>
      <c r="H35" s="23">
        <v>2</v>
      </c>
      <c r="I35" s="227">
        <f t="shared" si="1"/>
        <v>13</v>
      </c>
    </row>
    <row r="36" spans="1:9">
      <c r="A36" s="145">
        <v>10</v>
      </c>
      <c r="B36" s="1" t="s">
        <v>297</v>
      </c>
      <c r="C36" s="227">
        <v>10</v>
      </c>
      <c r="D36" s="23">
        <v>1</v>
      </c>
      <c r="E36" s="227">
        <f t="shared" si="0"/>
        <v>9</v>
      </c>
      <c r="F36" s="23">
        <v>2</v>
      </c>
      <c r="G36" s="227">
        <f t="shared" si="1"/>
        <v>11</v>
      </c>
      <c r="H36" s="23">
        <v>2</v>
      </c>
      <c r="I36" s="227">
        <f t="shared" si="1"/>
        <v>13</v>
      </c>
    </row>
    <row r="37" spans="1:9">
      <c r="A37" s="145">
        <v>11</v>
      </c>
      <c r="B37" s="1" t="s">
        <v>298</v>
      </c>
      <c r="C37" s="227">
        <v>10</v>
      </c>
      <c r="D37" s="23">
        <v>1</v>
      </c>
      <c r="E37" s="227">
        <f t="shared" si="0"/>
        <v>9</v>
      </c>
      <c r="F37" s="23">
        <v>2</v>
      </c>
      <c r="G37" s="227">
        <f t="shared" si="1"/>
        <v>11</v>
      </c>
      <c r="H37" s="23">
        <v>2</v>
      </c>
      <c r="I37" s="227">
        <f t="shared" si="1"/>
        <v>13</v>
      </c>
    </row>
    <row r="38" spans="1:9">
      <c r="A38" s="145">
        <v>12</v>
      </c>
      <c r="B38" s="1" t="s">
        <v>299</v>
      </c>
      <c r="C38" s="227">
        <v>10</v>
      </c>
      <c r="D38" s="23">
        <v>1</v>
      </c>
      <c r="E38" s="227">
        <f t="shared" si="0"/>
        <v>9</v>
      </c>
      <c r="F38" s="23">
        <v>2</v>
      </c>
      <c r="G38" s="227">
        <f t="shared" si="1"/>
        <v>11</v>
      </c>
      <c r="H38" s="23">
        <v>2</v>
      </c>
      <c r="I38" s="227">
        <f t="shared" si="1"/>
        <v>13</v>
      </c>
    </row>
    <row r="39" spans="1:9">
      <c r="A39" s="145">
        <v>13</v>
      </c>
      <c r="B39" s="1" t="s">
        <v>300</v>
      </c>
      <c r="C39" s="227">
        <v>10</v>
      </c>
      <c r="D39" s="23">
        <v>1</v>
      </c>
      <c r="E39" s="227">
        <f t="shared" si="0"/>
        <v>9</v>
      </c>
      <c r="F39" s="23">
        <v>2</v>
      </c>
      <c r="G39" s="227">
        <f t="shared" si="1"/>
        <v>11</v>
      </c>
      <c r="H39" s="23">
        <v>2</v>
      </c>
      <c r="I39" s="227">
        <f t="shared" si="1"/>
        <v>13</v>
      </c>
    </row>
    <row r="40" spans="1:9">
      <c r="A40" s="145">
        <v>14</v>
      </c>
      <c r="B40" s="1" t="s">
        <v>301</v>
      </c>
      <c r="C40" s="227">
        <v>10</v>
      </c>
      <c r="D40" s="23">
        <v>1</v>
      </c>
      <c r="E40" s="227">
        <f t="shared" si="0"/>
        <v>9</v>
      </c>
      <c r="F40" s="23">
        <v>2</v>
      </c>
      <c r="G40" s="227">
        <f t="shared" si="1"/>
        <v>11</v>
      </c>
      <c r="H40" s="23">
        <v>2</v>
      </c>
      <c r="I40" s="227">
        <f t="shared" si="1"/>
        <v>13</v>
      </c>
    </row>
    <row r="41" spans="1:9">
      <c r="A41" s="145">
        <v>15</v>
      </c>
      <c r="B41" s="1" t="s">
        <v>302</v>
      </c>
      <c r="C41" s="227">
        <v>10</v>
      </c>
      <c r="D41" s="23">
        <v>1</v>
      </c>
      <c r="E41" s="227">
        <f t="shared" si="0"/>
        <v>9</v>
      </c>
      <c r="F41" s="23">
        <v>2</v>
      </c>
      <c r="G41" s="227">
        <f t="shared" si="1"/>
        <v>11</v>
      </c>
      <c r="H41" s="23">
        <v>2</v>
      </c>
      <c r="I41" s="227">
        <f t="shared" si="1"/>
        <v>13</v>
      </c>
    </row>
    <row r="42" spans="1:9">
      <c r="A42" s="145">
        <v>16</v>
      </c>
      <c r="B42" s="1" t="s">
        <v>303</v>
      </c>
      <c r="C42" s="227">
        <v>10</v>
      </c>
      <c r="D42" s="23">
        <v>1</v>
      </c>
      <c r="E42" s="227">
        <f t="shared" si="0"/>
        <v>9</v>
      </c>
      <c r="F42" s="23">
        <v>2</v>
      </c>
      <c r="G42" s="227">
        <f t="shared" si="1"/>
        <v>11</v>
      </c>
      <c r="H42" s="23">
        <v>2</v>
      </c>
      <c r="I42" s="227">
        <f t="shared" si="1"/>
        <v>13</v>
      </c>
    </row>
    <row r="43" spans="1:9">
      <c r="A43" s="145">
        <v>17</v>
      </c>
      <c r="B43" s="1" t="s">
        <v>304</v>
      </c>
      <c r="C43" s="227">
        <v>10</v>
      </c>
      <c r="D43" s="23">
        <v>1</v>
      </c>
      <c r="E43" s="227">
        <f t="shared" si="0"/>
        <v>9</v>
      </c>
      <c r="F43" s="23">
        <v>2</v>
      </c>
      <c r="G43" s="227">
        <f t="shared" si="1"/>
        <v>11</v>
      </c>
      <c r="H43" s="23">
        <v>2</v>
      </c>
      <c r="I43" s="227">
        <f t="shared" si="1"/>
        <v>13</v>
      </c>
    </row>
    <row r="44" spans="1:9">
      <c r="A44" s="145">
        <v>18</v>
      </c>
      <c r="B44" s="1" t="s">
        <v>305</v>
      </c>
      <c r="C44" s="227">
        <v>10</v>
      </c>
      <c r="D44" s="23">
        <v>1</v>
      </c>
      <c r="E44" s="227">
        <f t="shared" si="0"/>
        <v>9</v>
      </c>
      <c r="F44" s="23">
        <v>2</v>
      </c>
      <c r="G44" s="227">
        <f t="shared" si="1"/>
        <v>11</v>
      </c>
      <c r="H44" s="23">
        <v>2</v>
      </c>
      <c r="I44" s="227">
        <f t="shared" si="1"/>
        <v>13</v>
      </c>
    </row>
    <row r="45" spans="1:9">
      <c r="A45" s="145">
        <v>19</v>
      </c>
      <c r="B45" s="1" t="s">
        <v>306</v>
      </c>
      <c r="C45" s="227">
        <v>10</v>
      </c>
      <c r="D45" s="23">
        <v>1</v>
      </c>
      <c r="E45" s="227">
        <f t="shared" si="0"/>
        <v>9</v>
      </c>
      <c r="F45" s="23">
        <v>2</v>
      </c>
      <c r="G45" s="227">
        <f t="shared" si="1"/>
        <v>11</v>
      </c>
      <c r="H45" s="23">
        <v>2</v>
      </c>
      <c r="I45" s="227">
        <f t="shared" si="1"/>
        <v>13</v>
      </c>
    </row>
    <row r="46" spans="1:9">
      <c r="A46" s="145">
        <v>20</v>
      </c>
      <c r="B46" s="1" t="s">
        <v>307</v>
      </c>
      <c r="C46" s="227">
        <v>10</v>
      </c>
      <c r="D46" s="23">
        <v>1</v>
      </c>
      <c r="E46" s="227">
        <f t="shared" si="0"/>
        <v>9</v>
      </c>
      <c r="F46" s="23">
        <v>2</v>
      </c>
      <c r="G46" s="227">
        <f t="shared" si="1"/>
        <v>11</v>
      </c>
      <c r="H46" s="23">
        <v>2</v>
      </c>
      <c r="I46" s="227">
        <f t="shared" si="1"/>
        <v>13</v>
      </c>
    </row>
    <row r="47" spans="1:9">
      <c r="A47" s="145">
        <v>21</v>
      </c>
      <c r="B47" s="1" t="s">
        <v>308</v>
      </c>
      <c r="C47" s="227">
        <v>10</v>
      </c>
      <c r="D47" s="23">
        <v>1</v>
      </c>
      <c r="E47" s="227">
        <f t="shared" si="0"/>
        <v>9</v>
      </c>
      <c r="F47" s="23">
        <v>2</v>
      </c>
      <c r="G47" s="227">
        <f t="shared" si="1"/>
        <v>11</v>
      </c>
      <c r="H47" s="23">
        <v>2</v>
      </c>
      <c r="I47" s="227">
        <f t="shared" si="1"/>
        <v>13</v>
      </c>
    </row>
    <row r="48" spans="1:9" ht="15" customHeight="1">
      <c r="A48" s="145">
        <v>22</v>
      </c>
      <c r="B48" s="163" t="s">
        <v>309</v>
      </c>
      <c r="C48" s="330">
        <v>10</v>
      </c>
      <c r="D48" s="330">
        <v>10</v>
      </c>
      <c r="E48" s="330">
        <f t="shared" si="0"/>
        <v>0</v>
      </c>
      <c r="F48" s="23"/>
      <c r="G48" s="227">
        <f t="shared" si="1"/>
        <v>0</v>
      </c>
      <c r="H48" s="23"/>
      <c r="I48" s="330">
        <f t="shared" si="1"/>
        <v>0</v>
      </c>
    </row>
    <row r="49" spans="1:11">
      <c r="A49" s="145">
        <v>23</v>
      </c>
      <c r="B49" s="1" t="s">
        <v>310</v>
      </c>
      <c r="C49" s="227">
        <v>9</v>
      </c>
      <c r="D49" s="23">
        <v>1</v>
      </c>
      <c r="E49" s="227">
        <f t="shared" si="0"/>
        <v>8</v>
      </c>
      <c r="F49" s="23">
        <v>3</v>
      </c>
      <c r="G49" s="227">
        <f t="shared" si="1"/>
        <v>11</v>
      </c>
      <c r="H49" s="23">
        <v>1</v>
      </c>
      <c r="I49" s="227">
        <f t="shared" si="1"/>
        <v>12</v>
      </c>
    </row>
    <row r="50" spans="1:11">
      <c r="A50" s="145">
        <v>24</v>
      </c>
      <c r="B50" s="1" t="s">
        <v>311</v>
      </c>
      <c r="C50" s="227">
        <v>9</v>
      </c>
      <c r="D50" s="23">
        <v>1</v>
      </c>
      <c r="E50" s="227">
        <f t="shared" si="0"/>
        <v>8</v>
      </c>
      <c r="F50" s="23">
        <v>3</v>
      </c>
      <c r="G50" s="227">
        <f t="shared" si="1"/>
        <v>11</v>
      </c>
      <c r="H50" s="23">
        <v>1</v>
      </c>
      <c r="I50" s="227">
        <f t="shared" si="1"/>
        <v>12</v>
      </c>
    </row>
    <row r="51" spans="1:11">
      <c r="A51" s="145">
        <v>25</v>
      </c>
      <c r="B51" s="1" t="s">
        <v>312</v>
      </c>
      <c r="C51" s="227">
        <v>9</v>
      </c>
      <c r="D51" s="23">
        <v>1</v>
      </c>
      <c r="E51" s="227">
        <f t="shared" si="0"/>
        <v>8</v>
      </c>
      <c r="F51" s="23">
        <v>3</v>
      </c>
      <c r="G51" s="227">
        <f t="shared" si="1"/>
        <v>11</v>
      </c>
      <c r="H51" s="23">
        <v>1</v>
      </c>
      <c r="I51" s="227">
        <f t="shared" si="1"/>
        <v>12</v>
      </c>
    </row>
    <row r="52" spans="1:11">
      <c r="A52" s="145">
        <v>26</v>
      </c>
      <c r="B52" s="163" t="s">
        <v>313</v>
      </c>
      <c r="C52" s="330">
        <v>9</v>
      </c>
      <c r="D52" s="330">
        <v>9</v>
      </c>
      <c r="E52" s="330">
        <f t="shared" si="0"/>
        <v>0</v>
      </c>
      <c r="F52" s="23"/>
      <c r="G52" s="227">
        <f t="shared" si="1"/>
        <v>0</v>
      </c>
      <c r="H52" s="23"/>
      <c r="I52" s="330">
        <f t="shared" si="1"/>
        <v>0</v>
      </c>
    </row>
    <row r="53" spans="1:11">
      <c r="A53" s="145">
        <v>27</v>
      </c>
      <c r="B53" s="163" t="s">
        <v>314</v>
      </c>
      <c r="C53" s="330">
        <v>9</v>
      </c>
      <c r="D53" s="330">
        <v>9</v>
      </c>
      <c r="E53" s="330">
        <f t="shared" si="0"/>
        <v>0</v>
      </c>
      <c r="F53" s="23"/>
      <c r="G53" s="227">
        <f t="shared" si="1"/>
        <v>0</v>
      </c>
      <c r="H53" s="23"/>
      <c r="I53" s="330">
        <f t="shared" si="1"/>
        <v>0</v>
      </c>
    </row>
    <row r="54" spans="1:11">
      <c r="A54" s="145">
        <v>28</v>
      </c>
      <c r="B54" s="1" t="s">
        <v>315</v>
      </c>
      <c r="C54" s="227">
        <v>9</v>
      </c>
      <c r="D54" s="23">
        <v>1</v>
      </c>
      <c r="E54" s="227">
        <f t="shared" si="0"/>
        <v>8</v>
      </c>
      <c r="F54" s="23">
        <v>2</v>
      </c>
      <c r="G54" s="227">
        <f t="shared" si="1"/>
        <v>10</v>
      </c>
      <c r="H54" s="23">
        <v>2</v>
      </c>
      <c r="I54" s="227">
        <f t="shared" si="1"/>
        <v>12</v>
      </c>
    </row>
    <row r="55" spans="1:11">
      <c r="A55" s="145">
        <v>29</v>
      </c>
      <c r="B55" s="1" t="s">
        <v>316</v>
      </c>
      <c r="C55" s="227">
        <v>10</v>
      </c>
      <c r="D55" s="23">
        <v>1</v>
      </c>
      <c r="E55" s="227">
        <f t="shared" si="0"/>
        <v>9</v>
      </c>
      <c r="F55" s="23">
        <v>2</v>
      </c>
      <c r="G55" s="227">
        <f t="shared" si="1"/>
        <v>11</v>
      </c>
      <c r="H55" s="23">
        <v>2</v>
      </c>
      <c r="I55" s="227">
        <f t="shared" si="1"/>
        <v>13</v>
      </c>
    </row>
    <row r="56" spans="1:11">
      <c r="A56" s="145">
        <v>30</v>
      </c>
      <c r="B56" s="1" t="s">
        <v>317</v>
      </c>
      <c r="C56" s="227">
        <v>10</v>
      </c>
      <c r="D56" s="23">
        <v>1</v>
      </c>
      <c r="E56" s="227">
        <f t="shared" si="0"/>
        <v>9</v>
      </c>
      <c r="F56" s="23">
        <v>2</v>
      </c>
      <c r="G56" s="227">
        <f t="shared" si="1"/>
        <v>11</v>
      </c>
      <c r="H56" s="23">
        <v>2</v>
      </c>
      <c r="I56" s="227">
        <f t="shared" si="1"/>
        <v>13</v>
      </c>
    </row>
    <row r="57" spans="1:11">
      <c r="A57" s="145">
        <v>31</v>
      </c>
      <c r="B57" s="1" t="s">
        <v>318</v>
      </c>
      <c r="C57" s="227">
        <v>11</v>
      </c>
      <c r="D57" s="23">
        <v>1</v>
      </c>
      <c r="E57" s="227">
        <f t="shared" si="0"/>
        <v>10</v>
      </c>
      <c r="F57" s="23">
        <v>2</v>
      </c>
      <c r="G57" s="227">
        <f t="shared" si="1"/>
        <v>12</v>
      </c>
      <c r="H57" s="23">
        <v>1</v>
      </c>
      <c r="I57" s="227">
        <f t="shared" si="1"/>
        <v>13</v>
      </c>
    </row>
    <row r="58" spans="1:11">
      <c r="A58" s="145">
        <v>32</v>
      </c>
      <c r="B58" s="1" t="s">
        <v>319</v>
      </c>
      <c r="C58" s="227">
        <v>11</v>
      </c>
      <c r="D58" s="23">
        <v>1</v>
      </c>
      <c r="E58" s="227">
        <f t="shared" si="0"/>
        <v>10</v>
      </c>
      <c r="F58" s="23">
        <v>2</v>
      </c>
      <c r="G58" s="227">
        <f t="shared" si="1"/>
        <v>12</v>
      </c>
      <c r="H58" s="23">
        <v>1</v>
      </c>
      <c r="I58" s="227">
        <f t="shared" si="1"/>
        <v>13</v>
      </c>
    </row>
    <row r="59" spans="1:11">
      <c r="A59" s="145">
        <v>33</v>
      </c>
      <c r="B59" s="1" t="s">
        <v>320</v>
      </c>
      <c r="C59" s="227">
        <v>5</v>
      </c>
      <c r="D59" s="23"/>
      <c r="E59" s="227">
        <f t="shared" si="0"/>
        <v>5</v>
      </c>
      <c r="F59" s="23">
        <v>2</v>
      </c>
      <c r="G59" s="227">
        <f t="shared" si="1"/>
        <v>7</v>
      </c>
      <c r="H59" s="23">
        <v>1</v>
      </c>
      <c r="I59" s="227">
        <f t="shared" si="1"/>
        <v>8</v>
      </c>
    </row>
    <row r="60" spans="1:11">
      <c r="A60" s="145">
        <v>34</v>
      </c>
      <c r="B60" s="1" t="s">
        <v>321</v>
      </c>
      <c r="C60" s="227">
        <v>9</v>
      </c>
      <c r="D60" s="23"/>
      <c r="E60" s="227">
        <f t="shared" si="0"/>
        <v>9</v>
      </c>
      <c r="F60" s="23">
        <v>2</v>
      </c>
      <c r="G60" s="227">
        <f t="shared" si="1"/>
        <v>11</v>
      </c>
      <c r="H60" s="23">
        <v>1</v>
      </c>
      <c r="I60" s="227">
        <f t="shared" si="1"/>
        <v>12</v>
      </c>
    </row>
    <row r="61" spans="1:11">
      <c r="A61" s="145">
        <v>35</v>
      </c>
      <c r="B61" s="1" t="s">
        <v>322</v>
      </c>
      <c r="C61" s="227">
        <v>10</v>
      </c>
      <c r="D61" s="23"/>
      <c r="E61" s="227">
        <f t="shared" si="0"/>
        <v>10</v>
      </c>
      <c r="F61" s="23">
        <v>1</v>
      </c>
      <c r="G61" s="227">
        <f t="shared" si="1"/>
        <v>11</v>
      </c>
      <c r="H61" s="23">
        <v>2</v>
      </c>
      <c r="I61" s="227">
        <f t="shared" si="1"/>
        <v>13</v>
      </c>
    </row>
    <row r="62" spans="1:11">
      <c r="A62" s="467" t="s">
        <v>169</v>
      </c>
      <c r="B62" s="467"/>
      <c r="C62" s="230">
        <f t="shared" ref="C62:I62" si="2">SUM(C27:C61)</f>
        <v>340</v>
      </c>
      <c r="D62" s="239">
        <f t="shared" si="2"/>
        <v>57</v>
      </c>
      <c r="E62" s="230">
        <f t="shared" si="2"/>
        <v>283</v>
      </c>
      <c r="F62" s="239">
        <f t="shared" si="2"/>
        <v>66</v>
      </c>
      <c r="G62" s="230">
        <f t="shared" si="2"/>
        <v>349</v>
      </c>
      <c r="H62" s="239">
        <f t="shared" si="2"/>
        <v>57</v>
      </c>
      <c r="I62" s="230">
        <f t="shared" si="2"/>
        <v>406</v>
      </c>
    </row>
    <row r="63" spans="1:11" ht="34.5" customHeight="1">
      <c r="A63" s="468" t="s">
        <v>323</v>
      </c>
      <c r="B63" s="468"/>
      <c r="C63" s="468"/>
      <c r="D63" s="468"/>
      <c r="E63" s="468"/>
      <c r="F63" s="468"/>
      <c r="G63" s="468"/>
      <c r="H63" s="468"/>
      <c r="I63" s="124"/>
      <c r="J63" s="124"/>
      <c r="K63" s="237" t="s">
        <v>106</v>
      </c>
    </row>
    <row r="64" spans="1:11" ht="21">
      <c r="A64" s="2" t="s">
        <v>0</v>
      </c>
      <c r="B64" s="331"/>
      <c r="C64" s="331"/>
      <c r="D64" s="331"/>
      <c r="E64" s="331"/>
      <c r="F64" s="331"/>
      <c r="G64" s="331"/>
      <c r="H64" s="331"/>
      <c r="I64" s="134"/>
      <c r="J64" s="134"/>
      <c r="K64" s="332"/>
    </row>
    <row r="65" spans="1:11">
      <c r="A65" s="331"/>
      <c r="B65" s="331"/>
      <c r="C65" s="331"/>
      <c r="D65" s="331"/>
      <c r="E65" s="331"/>
      <c r="F65" s="331"/>
      <c r="G65" s="331"/>
      <c r="H65" s="331"/>
      <c r="I65" s="134"/>
      <c r="J65" s="134"/>
      <c r="K65" s="332"/>
    </row>
    <row r="66" spans="1:11" ht="21">
      <c r="A66" s="428" t="s">
        <v>324</v>
      </c>
      <c r="B66" s="428"/>
      <c r="C66" s="428"/>
      <c r="D66" s="428"/>
      <c r="E66" s="428"/>
      <c r="F66" s="428"/>
      <c r="G66" s="428"/>
      <c r="H66" s="428"/>
      <c r="I66" s="428"/>
      <c r="J66" s="428"/>
      <c r="K66" s="428"/>
    </row>
    <row r="68" spans="1:11" ht="15.75">
      <c r="A68" s="469" t="s">
        <v>265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</row>
    <row r="69" spans="1:11" ht="15.75">
      <c r="A69" s="469" t="s">
        <v>266</v>
      </c>
      <c r="B69" s="469"/>
      <c r="C69" s="469"/>
      <c r="D69" s="469"/>
      <c r="E69" s="469"/>
      <c r="F69" s="469"/>
      <c r="G69" s="469"/>
      <c r="H69" s="469"/>
      <c r="I69" s="469"/>
      <c r="J69" s="469"/>
      <c r="K69" s="469"/>
    </row>
    <row r="70" spans="1:11" ht="15.75">
      <c r="A70" s="318"/>
      <c r="B70" s="318"/>
      <c r="C70" s="318"/>
      <c r="D70" s="318"/>
      <c r="E70" s="318"/>
      <c r="F70" s="318"/>
      <c r="G70" s="318"/>
      <c r="H70" s="318"/>
      <c r="I70" s="318"/>
      <c r="J70" s="318"/>
      <c r="K70" s="318"/>
    </row>
    <row r="71" spans="1:11" ht="15.75">
      <c r="A71" s="318"/>
      <c r="B71" s="318"/>
      <c r="C71" s="318"/>
      <c r="D71" s="318"/>
      <c r="E71" s="318"/>
      <c r="F71" s="318"/>
      <c r="G71" s="318"/>
      <c r="H71" s="318"/>
      <c r="I71" s="318"/>
      <c r="J71" s="318"/>
      <c r="K71" s="318"/>
    </row>
    <row r="72" spans="1:11" ht="15" customHeight="1">
      <c r="A72" s="465" t="s">
        <v>325</v>
      </c>
      <c r="B72" s="465"/>
      <c r="C72" s="465"/>
      <c r="D72" s="465"/>
      <c r="E72" s="465"/>
      <c r="F72" s="465"/>
      <c r="G72" s="465"/>
      <c r="H72" s="465"/>
      <c r="I72" s="462" t="s">
        <v>326</v>
      </c>
      <c r="J72" s="462"/>
      <c r="K72" s="462"/>
    </row>
    <row r="73" spans="1:11" ht="15" customHeight="1">
      <c r="A73" s="465" t="s">
        <v>327</v>
      </c>
      <c r="B73" s="465"/>
      <c r="C73" s="465"/>
      <c r="D73" s="465"/>
      <c r="E73" s="465"/>
      <c r="F73" s="465"/>
      <c r="G73" s="465"/>
      <c r="H73" s="465"/>
      <c r="I73" s="333" t="s">
        <v>328</v>
      </c>
      <c r="J73" s="334"/>
      <c r="K73" s="335" t="s">
        <v>12</v>
      </c>
    </row>
    <row r="74" spans="1:11" ht="15" customHeight="1">
      <c r="A74" s="465" t="s">
        <v>329</v>
      </c>
      <c r="B74" s="465"/>
      <c r="C74" s="465"/>
      <c r="D74" s="465"/>
      <c r="E74" s="465"/>
      <c r="F74" s="465"/>
      <c r="G74" s="465"/>
      <c r="H74" s="465"/>
      <c r="I74" s="336" t="s">
        <v>238</v>
      </c>
      <c r="J74" s="337"/>
      <c r="K74" s="124">
        <f>17*10</f>
        <v>170</v>
      </c>
    </row>
    <row r="75" spans="1:11" ht="15" customHeight="1">
      <c r="A75" s="465" t="s">
        <v>330</v>
      </c>
      <c r="B75" s="465"/>
      <c r="C75" s="465"/>
      <c r="D75" s="465"/>
      <c r="E75" s="465"/>
      <c r="F75" s="465"/>
      <c r="G75" s="465"/>
      <c r="H75" s="465"/>
      <c r="I75" s="336" t="s">
        <v>239</v>
      </c>
      <c r="J75" s="337"/>
      <c r="K75" s="124">
        <f>340-32</f>
        <v>308</v>
      </c>
    </row>
    <row r="76" spans="1:11" ht="15" customHeight="1">
      <c r="A76" s="338" t="s">
        <v>331</v>
      </c>
      <c r="I76" s="336" t="s">
        <v>332</v>
      </c>
      <c r="J76" s="337"/>
      <c r="K76" s="124">
        <v>28</v>
      </c>
    </row>
    <row r="77" spans="1:11" ht="15" customHeight="1">
      <c r="A77" s="338"/>
      <c r="I77" s="336" t="s">
        <v>333</v>
      </c>
      <c r="J77" s="337"/>
      <c r="K77" s="124">
        <v>2</v>
      </c>
    </row>
    <row r="78" spans="1:11" ht="15" customHeight="1">
      <c r="A78" s="464" t="s">
        <v>334</v>
      </c>
      <c r="B78" s="464"/>
      <c r="C78" s="464"/>
      <c r="D78" s="464"/>
      <c r="E78" s="286" t="s">
        <v>210</v>
      </c>
      <c r="G78" s="466"/>
      <c r="H78" s="466"/>
      <c r="I78" s="336" t="s">
        <v>335</v>
      </c>
      <c r="J78" s="337"/>
      <c r="K78" s="124">
        <v>2</v>
      </c>
    </row>
    <row r="79" spans="1:11" ht="15" customHeight="1">
      <c r="A79" s="463" t="s">
        <v>336</v>
      </c>
      <c r="B79" s="463"/>
      <c r="C79" s="463"/>
      <c r="D79" s="463"/>
      <c r="E79" s="339">
        <v>66</v>
      </c>
      <c r="I79" s="336" t="s">
        <v>337</v>
      </c>
      <c r="J79" s="337"/>
      <c r="K79" s="124">
        <v>171</v>
      </c>
    </row>
    <row r="80" spans="1:11" ht="15" customHeight="1">
      <c r="A80" s="463" t="s">
        <v>338</v>
      </c>
      <c r="B80" s="463"/>
      <c r="C80" s="463"/>
      <c r="D80" s="463"/>
      <c r="E80" s="339">
        <v>43</v>
      </c>
      <c r="I80" s="336" t="s">
        <v>339</v>
      </c>
      <c r="J80" s="337"/>
      <c r="K80" s="124">
        <f>132-32</f>
        <v>100</v>
      </c>
    </row>
    <row r="81" spans="1:11">
      <c r="A81" s="463" t="s">
        <v>340</v>
      </c>
      <c r="B81" s="463"/>
      <c r="C81" s="463"/>
      <c r="D81" s="463"/>
      <c r="E81" s="339">
        <v>22</v>
      </c>
      <c r="F81" s="340"/>
      <c r="G81" s="340"/>
      <c r="H81" s="340"/>
      <c r="I81" s="341" t="s">
        <v>169</v>
      </c>
      <c r="J81" s="342"/>
      <c r="K81" s="343">
        <f>SUM(K74:K80)</f>
        <v>781</v>
      </c>
    </row>
    <row r="82" spans="1:11">
      <c r="A82" s="463" t="s">
        <v>341</v>
      </c>
      <c r="B82" s="463"/>
      <c r="C82" s="463"/>
      <c r="D82" s="463"/>
      <c r="E82" s="339">
        <v>57</v>
      </c>
      <c r="I82" s="336" t="s">
        <v>342</v>
      </c>
      <c r="J82" s="337"/>
      <c r="K82" s="124">
        <f>66+43+22</f>
        <v>131</v>
      </c>
    </row>
    <row r="83" spans="1:11">
      <c r="A83" s="463" t="s">
        <v>343</v>
      </c>
      <c r="B83" s="463"/>
      <c r="C83" s="463"/>
      <c r="D83" s="463"/>
      <c r="E83" s="339">
        <v>4</v>
      </c>
      <c r="I83" s="341" t="s">
        <v>228</v>
      </c>
      <c r="J83" s="342"/>
      <c r="K83" s="343">
        <f>+K81+K82</f>
        <v>912</v>
      </c>
    </row>
    <row r="84" spans="1:11">
      <c r="A84" s="464" t="s">
        <v>169</v>
      </c>
      <c r="B84" s="464"/>
      <c r="C84" s="464"/>
      <c r="D84" s="464"/>
      <c r="E84" s="344">
        <f>SUM(E79:E83)</f>
        <v>192</v>
      </c>
      <c r="I84" s="336" t="s">
        <v>344</v>
      </c>
      <c r="J84" s="337"/>
      <c r="K84" s="124">
        <v>0</v>
      </c>
    </row>
    <row r="85" spans="1:11">
      <c r="I85" s="341" t="s">
        <v>228</v>
      </c>
      <c r="J85" s="342"/>
      <c r="K85" s="343">
        <f>+K83+K84</f>
        <v>912</v>
      </c>
    </row>
    <row r="86" spans="1:11">
      <c r="A86" s="274" t="s">
        <v>233</v>
      </c>
      <c r="B86" s="273"/>
      <c r="C86" s="275"/>
      <c r="D86" s="273"/>
      <c r="E86" s="273"/>
      <c r="F86" s="273"/>
    </row>
    <row r="87" spans="1:11" ht="15" customHeight="1">
      <c r="A87" s="438" t="s">
        <v>345</v>
      </c>
      <c r="B87" s="438"/>
      <c r="C87" s="438"/>
      <c r="D87" s="345" t="s">
        <v>165</v>
      </c>
      <c r="E87" s="277" t="s">
        <v>164</v>
      </c>
      <c r="F87" s="232" t="s">
        <v>237</v>
      </c>
      <c r="I87" s="462" t="s">
        <v>346</v>
      </c>
      <c r="J87" s="462"/>
      <c r="K87" s="462"/>
    </row>
    <row r="88" spans="1:11">
      <c r="A88" s="120" t="s">
        <v>238</v>
      </c>
      <c r="B88" s="14"/>
      <c r="C88" s="39"/>
      <c r="D88" s="32">
        <v>170</v>
      </c>
      <c r="E88" s="31">
        <v>170</v>
      </c>
      <c r="F88" s="23">
        <f>+D88-E88</f>
        <v>0</v>
      </c>
      <c r="I88" s="333" t="s">
        <v>328</v>
      </c>
      <c r="J88" s="334"/>
      <c r="K88" s="335" t="s">
        <v>12</v>
      </c>
    </row>
    <row r="89" spans="1:11">
      <c r="A89" s="120" t="s">
        <v>239</v>
      </c>
      <c r="B89" s="14"/>
      <c r="C89" s="39"/>
      <c r="D89" s="4">
        <f>13*32+29-29</f>
        <v>416</v>
      </c>
      <c r="E89" s="14">
        <f>340-32</f>
        <v>308</v>
      </c>
      <c r="F89" s="23">
        <f>+D89-E89</f>
        <v>108</v>
      </c>
      <c r="I89" s="336" t="s">
        <v>238</v>
      </c>
      <c r="J89" s="337"/>
      <c r="K89" s="124">
        <f>17*10</f>
        <v>170</v>
      </c>
    </row>
    <row r="90" spans="1:11">
      <c r="A90" s="120" t="s">
        <v>240</v>
      </c>
      <c r="B90" s="14"/>
      <c r="C90" s="39"/>
      <c r="D90" s="4">
        <v>29</v>
      </c>
      <c r="E90" s="14">
        <v>32</v>
      </c>
      <c r="F90" s="23">
        <f>+D90-E90</f>
        <v>-3</v>
      </c>
      <c r="I90" s="336" t="s">
        <v>239</v>
      </c>
      <c r="J90" s="337"/>
      <c r="K90" s="124">
        <f>340-32-25</f>
        <v>283</v>
      </c>
    </row>
    <row r="91" spans="1:11">
      <c r="A91" s="120" t="s">
        <v>241</v>
      </c>
      <c r="B91" s="14"/>
      <c r="C91" s="39"/>
      <c r="D91" s="4">
        <v>195</v>
      </c>
      <c r="E91" s="14">
        <v>171</v>
      </c>
      <c r="F91" s="23">
        <f>+D91-E91</f>
        <v>24</v>
      </c>
      <c r="I91" s="336" t="s">
        <v>332</v>
      </c>
      <c r="J91" s="337"/>
      <c r="K91" s="124">
        <v>28</v>
      </c>
    </row>
    <row r="92" spans="1:11">
      <c r="A92" s="120" t="s">
        <v>242</v>
      </c>
      <c r="B92" s="14"/>
      <c r="C92" s="39"/>
      <c r="D92" s="4">
        <f>170-26</f>
        <v>144</v>
      </c>
      <c r="E92" s="14">
        <f>132-32</f>
        <v>100</v>
      </c>
      <c r="F92" s="23">
        <f>+D92-E92</f>
        <v>44</v>
      </c>
      <c r="I92" s="336" t="s">
        <v>333</v>
      </c>
      <c r="J92" s="337"/>
      <c r="K92" s="124">
        <v>2</v>
      </c>
    </row>
    <row r="93" spans="1:11">
      <c r="A93" s="282" t="s">
        <v>176</v>
      </c>
      <c r="B93" s="283"/>
      <c r="C93" s="284"/>
      <c r="D93" s="244">
        <f>SUM(D88:D92)</f>
        <v>954</v>
      </c>
      <c r="E93" s="285">
        <f>SUM(E88:E92)</f>
        <v>781</v>
      </c>
      <c r="F93" s="249">
        <f>SUM(F88:F92)</f>
        <v>173</v>
      </c>
      <c r="I93" s="336" t="s">
        <v>335</v>
      </c>
      <c r="J93" s="337"/>
      <c r="K93" s="124">
        <v>2</v>
      </c>
    </row>
    <row r="94" spans="1:11" ht="15" customHeight="1">
      <c r="A94" s="120" t="s">
        <v>243</v>
      </c>
      <c r="B94" s="14"/>
      <c r="C94" s="39"/>
      <c r="D94" s="4">
        <v>0</v>
      </c>
      <c r="E94" s="14">
        <f>192-61</f>
        <v>131</v>
      </c>
      <c r="F94" s="23">
        <f>+D94-E94</f>
        <v>-131</v>
      </c>
      <c r="I94" s="336" t="s">
        <v>337</v>
      </c>
      <c r="J94" s="337"/>
      <c r="K94" s="124">
        <v>171</v>
      </c>
    </row>
    <row r="95" spans="1:11">
      <c r="A95" s="282" t="s">
        <v>176</v>
      </c>
      <c r="B95" s="283"/>
      <c r="C95" s="284"/>
      <c r="D95" s="244">
        <f>D93+D94</f>
        <v>954</v>
      </c>
      <c r="E95" s="283">
        <f>E93+E94</f>
        <v>912</v>
      </c>
      <c r="F95" s="239">
        <f>F93+F94</f>
        <v>42</v>
      </c>
      <c r="I95" s="336" t="s">
        <v>339</v>
      </c>
      <c r="J95" s="337"/>
      <c r="K95" s="124">
        <f>132-32</f>
        <v>100</v>
      </c>
    </row>
    <row r="96" spans="1:11">
      <c r="A96" s="290" t="s">
        <v>247</v>
      </c>
      <c r="B96" s="266"/>
      <c r="C96" s="291"/>
      <c r="D96" s="292">
        <v>954</v>
      </c>
      <c r="E96" s="266">
        <v>954</v>
      </c>
      <c r="F96" s="23">
        <f>+D96-E96</f>
        <v>0</v>
      </c>
      <c r="I96" s="341" t="s">
        <v>169</v>
      </c>
      <c r="J96" s="342"/>
      <c r="K96" s="343">
        <f>SUM(K89:K95)</f>
        <v>756</v>
      </c>
    </row>
    <row r="97" spans="1:11">
      <c r="A97" s="282" t="s">
        <v>248</v>
      </c>
      <c r="B97" s="283"/>
      <c r="C97" s="284"/>
      <c r="D97" s="244">
        <f>+D96-D95</f>
        <v>0</v>
      </c>
      <c r="E97" s="283">
        <f>+E96-E95</f>
        <v>42</v>
      </c>
      <c r="F97" s="239">
        <f>+F96-F95</f>
        <v>-42</v>
      </c>
      <c r="I97" s="336" t="s">
        <v>342</v>
      </c>
      <c r="J97" s="337"/>
      <c r="K97" s="124">
        <f>66+43+22</f>
        <v>131</v>
      </c>
    </row>
    <row r="98" spans="1:11" ht="15" customHeight="1">
      <c r="I98" s="341" t="s">
        <v>228</v>
      </c>
      <c r="J98" s="342"/>
      <c r="K98" s="343">
        <f>+K96+K97</f>
        <v>887</v>
      </c>
    </row>
    <row r="99" spans="1:11">
      <c r="I99" s="336" t="s">
        <v>344</v>
      </c>
      <c r="J99" s="337"/>
      <c r="K99" s="124">
        <f>57+4</f>
        <v>61</v>
      </c>
    </row>
    <row r="100" spans="1:11">
      <c r="A100" s="459" t="s">
        <v>106</v>
      </c>
      <c r="B100" s="459"/>
      <c r="C100" s="459"/>
      <c r="I100" s="341" t="s">
        <v>228</v>
      </c>
      <c r="J100" s="342"/>
      <c r="K100" s="343">
        <f>+K98+K99</f>
        <v>948</v>
      </c>
    </row>
    <row r="101" spans="1:11" ht="15" customHeight="1"/>
    <row r="104" spans="1:11" ht="15" customHeight="1"/>
    <row r="107" spans="1:11" ht="15" customHeight="1"/>
  </sheetData>
  <sheetProtection selectLockedCells="1" selectUnlockedCells="1"/>
  <mergeCells count="45">
    <mergeCell ref="A10:G10"/>
    <mergeCell ref="A4:K4"/>
    <mergeCell ref="A6:K6"/>
    <mergeCell ref="A7:K7"/>
    <mergeCell ref="A8:G8"/>
    <mergeCell ref="A9:G9"/>
    <mergeCell ref="A22:K22"/>
    <mergeCell ref="A11:G11"/>
    <mergeCell ref="A12:G12"/>
    <mergeCell ref="A13:G13"/>
    <mergeCell ref="A14:G14"/>
    <mergeCell ref="A15:G15"/>
    <mergeCell ref="A16:G16"/>
    <mergeCell ref="A17:G17"/>
    <mergeCell ref="L17:M17"/>
    <mergeCell ref="A18:G18"/>
    <mergeCell ref="A19:G19"/>
    <mergeCell ref="A20:J20"/>
    <mergeCell ref="A24:A26"/>
    <mergeCell ref="B24:B26"/>
    <mergeCell ref="C24:G24"/>
    <mergeCell ref="H24:H26"/>
    <mergeCell ref="I24:I26"/>
    <mergeCell ref="C25:G25"/>
    <mergeCell ref="A79:D79"/>
    <mergeCell ref="A62:B62"/>
    <mergeCell ref="A63:H63"/>
    <mergeCell ref="A66:K66"/>
    <mergeCell ref="A68:K68"/>
    <mergeCell ref="A69:K69"/>
    <mergeCell ref="A72:H72"/>
    <mergeCell ref="I72:K72"/>
    <mergeCell ref="A73:H73"/>
    <mergeCell ref="A74:H74"/>
    <mergeCell ref="A75:H75"/>
    <mergeCell ref="A78:D78"/>
    <mergeCell ref="G78:H78"/>
    <mergeCell ref="I87:K87"/>
    <mergeCell ref="A100:C100"/>
    <mergeCell ref="A80:D80"/>
    <mergeCell ref="A81:D81"/>
    <mergeCell ref="A82:D82"/>
    <mergeCell ref="A83:D83"/>
    <mergeCell ref="A84:D84"/>
    <mergeCell ref="A87:C87"/>
  </mergeCells>
  <printOptions horizontalCentered="1" verticalCentered="1"/>
  <pageMargins left="0.39374999999999999" right="0.39374999999999999" top="0.78749999999999998" bottom="0.59027777777777779" header="0.51180555555555551" footer="0.11805555555555555"/>
  <pageSetup paperSize="9" scale="64" firstPageNumber="0" orientation="landscape" horizontalDpi="300" verticalDpi="300" r:id="rId1"/>
  <headerFooter alignWithMargins="0">
    <oddFooter>&amp;C&amp;"Calibri,Regular"&amp;11&amp;P</oddFooter>
  </headerFooter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SheetLayoutView="100" workbookViewId="0"/>
  </sheetViews>
  <sheetFormatPr defaultColWidth="9.42578125" defaultRowHeight="15"/>
  <cols>
    <col min="1" max="1" width="36.42578125" style="1" customWidth="1"/>
    <col min="2" max="2" width="14.85546875" style="1" customWidth="1"/>
    <col min="3" max="3" width="9.42578125" style="1"/>
    <col min="4" max="4" width="8.140625" style="1" customWidth="1"/>
    <col min="5" max="6" width="9.42578125" style="1"/>
    <col min="7" max="7" width="11.85546875" style="1" customWidth="1"/>
    <col min="8" max="8" width="11.28515625" style="1" customWidth="1"/>
    <col min="9" max="9" width="14.7109375" style="1" customWidth="1"/>
    <col min="10" max="10" width="14.85546875" style="1" customWidth="1"/>
    <col min="11" max="11" width="15.28515625" style="1" customWidth="1"/>
    <col min="12" max="12" width="15.140625" style="1" customWidth="1"/>
    <col min="13" max="16384" width="9.42578125" style="1"/>
  </cols>
  <sheetData>
    <row r="1" spans="1:12" ht="21">
      <c r="A1" s="2" t="s">
        <v>0</v>
      </c>
      <c r="B1" s="316"/>
      <c r="L1" s="256"/>
    </row>
    <row r="2" spans="1:12" ht="21">
      <c r="A2" s="428" t="s">
        <v>347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</row>
    <row r="4" spans="1:12">
      <c r="A4" s="483" t="s">
        <v>348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</row>
    <row r="5" spans="1:12">
      <c r="A5" s="483" t="s">
        <v>349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</row>
    <row r="6" spans="1:12">
      <c r="A6" s="483" t="s">
        <v>350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</row>
    <row r="8" spans="1:12">
      <c r="A8" s="481" t="s">
        <v>239</v>
      </c>
      <c r="B8" s="484" t="s">
        <v>351</v>
      </c>
      <c r="C8" s="484"/>
      <c r="D8" s="484"/>
      <c r="E8" s="484"/>
      <c r="F8" s="484"/>
      <c r="G8" s="484"/>
      <c r="H8" s="484"/>
      <c r="I8" s="346" t="s">
        <v>352</v>
      </c>
      <c r="J8" s="346" t="s">
        <v>12</v>
      </c>
      <c r="K8" s="484" t="s">
        <v>353</v>
      </c>
      <c r="L8" s="484"/>
    </row>
    <row r="9" spans="1:12" ht="30">
      <c r="A9" s="481"/>
      <c r="B9" s="347" t="s">
        <v>354</v>
      </c>
      <c r="C9" s="348">
        <v>2009</v>
      </c>
      <c r="D9" s="348">
        <v>2010</v>
      </c>
      <c r="E9" s="348">
        <v>2011</v>
      </c>
      <c r="F9" s="348" t="s">
        <v>169</v>
      </c>
      <c r="G9" s="347" t="s">
        <v>355</v>
      </c>
      <c r="H9" s="349" t="s">
        <v>356</v>
      </c>
      <c r="I9" s="347" t="s">
        <v>357</v>
      </c>
      <c r="J9" s="347" t="s">
        <v>201</v>
      </c>
      <c r="K9" s="347" t="s">
        <v>358</v>
      </c>
      <c r="L9" s="347" t="s">
        <v>359</v>
      </c>
    </row>
    <row r="10" spans="1:12">
      <c r="A10" s="350" t="s">
        <v>360</v>
      </c>
      <c r="B10" s="351">
        <v>22</v>
      </c>
      <c r="C10" s="1">
        <v>45881</v>
      </c>
      <c r="D10" s="1">
        <v>35360</v>
      </c>
      <c r="E10" s="1">
        <v>44432</v>
      </c>
      <c r="F10" s="351">
        <f t="shared" ref="F10:F17" si="0">C10+D10+E10</f>
        <v>125673</v>
      </c>
      <c r="G10" s="352">
        <f t="shared" ref="G10:G17" si="1">F10/3</f>
        <v>41891</v>
      </c>
      <c r="H10" s="351">
        <f t="shared" ref="H10:H17" si="2">G10/B10</f>
        <v>1904.1363636363637</v>
      </c>
      <c r="I10" s="353">
        <v>14</v>
      </c>
      <c r="J10" s="353">
        <v>10</v>
      </c>
      <c r="K10" s="351">
        <f t="shared" ref="K10:K17" si="3">B10*I10</f>
        <v>308</v>
      </c>
      <c r="L10" s="354">
        <f t="shared" ref="L10:L17" si="4">B10*J10</f>
        <v>220</v>
      </c>
    </row>
    <row r="11" spans="1:12">
      <c r="A11" s="355" t="s">
        <v>361</v>
      </c>
      <c r="B11" s="356">
        <v>5</v>
      </c>
      <c r="C11" s="357">
        <v>7269</v>
      </c>
      <c r="D11" s="357">
        <v>7112</v>
      </c>
      <c r="E11" s="357">
        <v>8001</v>
      </c>
      <c r="F11" s="356">
        <f t="shared" si="0"/>
        <v>22382</v>
      </c>
      <c r="G11" s="358">
        <f t="shared" si="1"/>
        <v>7460.666666666667</v>
      </c>
      <c r="H11" s="356">
        <f t="shared" si="2"/>
        <v>1492.1333333333334</v>
      </c>
      <c r="I11" s="359">
        <v>12</v>
      </c>
      <c r="J11" s="359">
        <v>9</v>
      </c>
      <c r="K11" s="356">
        <f t="shared" si="3"/>
        <v>60</v>
      </c>
      <c r="L11" s="360">
        <f t="shared" si="4"/>
        <v>45</v>
      </c>
    </row>
    <row r="12" spans="1:12">
      <c r="A12" s="361" t="s">
        <v>362</v>
      </c>
      <c r="B12" s="362">
        <v>1</v>
      </c>
      <c r="C12" s="1">
        <v>1101</v>
      </c>
      <c r="D12" s="1">
        <v>963</v>
      </c>
      <c r="E12" s="1">
        <v>1237</v>
      </c>
      <c r="F12" s="362">
        <f t="shared" si="0"/>
        <v>3301</v>
      </c>
      <c r="G12" s="362">
        <f t="shared" si="1"/>
        <v>1100.3333333333333</v>
      </c>
      <c r="H12" s="362">
        <f t="shared" si="2"/>
        <v>1100.3333333333333</v>
      </c>
      <c r="I12" s="363">
        <v>12</v>
      </c>
      <c r="J12" s="363">
        <v>9</v>
      </c>
      <c r="K12" s="362">
        <f t="shared" si="3"/>
        <v>12</v>
      </c>
      <c r="L12" s="364">
        <f t="shared" si="4"/>
        <v>9</v>
      </c>
    </row>
    <row r="13" spans="1:12">
      <c r="A13" s="355" t="s">
        <v>363</v>
      </c>
      <c r="B13" s="356">
        <v>2</v>
      </c>
      <c r="C13" s="357">
        <v>3766</v>
      </c>
      <c r="D13" s="357">
        <v>2896</v>
      </c>
      <c r="E13" s="357">
        <v>2807</v>
      </c>
      <c r="F13" s="356">
        <f t="shared" si="0"/>
        <v>9469</v>
      </c>
      <c r="G13" s="358">
        <f t="shared" si="1"/>
        <v>3156.3333333333335</v>
      </c>
      <c r="H13" s="356">
        <f t="shared" si="2"/>
        <v>1578.1666666666667</v>
      </c>
      <c r="I13" s="359">
        <v>14</v>
      </c>
      <c r="J13" s="359">
        <v>10</v>
      </c>
      <c r="K13" s="356">
        <f t="shared" si="3"/>
        <v>28</v>
      </c>
      <c r="L13" s="360">
        <f t="shared" si="4"/>
        <v>20</v>
      </c>
    </row>
    <row r="14" spans="1:12">
      <c r="A14" s="361" t="s">
        <v>364</v>
      </c>
      <c r="B14" s="362">
        <v>2</v>
      </c>
      <c r="C14" s="1">
        <v>4513</v>
      </c>
      <c r="D14" s="1">
        <v>3707</v>
      </c>
      <c r="E14" s="1">
        <v>5122</v>
      </c>
      <c r="F14" s="362">
        <f t="shared" si="0"/>
        <v>13342</v>
      </c>
      <c r="G14" s="362">
        <f t="shared" si="1"/>
        <v>4447.333333333333</v>
      </c>
      <c r="H14" s="362">
        <f t="shared" si="2"/>
        <v>2223.6666666666665</v>
      </c>
      <c r="I14" s="363">
        <v>16</v>
      </c>
      <c r="J14" s="363">
        <v>11</v>
      </c>
      <c r="K14" s="362">
        <f t="shared" si="3"/>
        <v>32</v>
      </c>
      <c r="L14" s="364">
        <f t="shared" si="4"/>
        <v>22</v>
      </c>
    </row>
    <row r="15" spans="1:12">
      <c r="A15" s="355" t="s">
        <v>365</v>
      </c>
      <c r="B15" s="356">
        <v>1</v>
      </c>
      <c r="C15" s="357">
        <v>1927</v>
      </c>
      <c r="D15" s="357">
        <v>1466</v>
      </c>
      <c r="E15" s="357">
        <v>1690</v>
      </c>
      <c r="F15" s="356">
        <f t="shared" si="0"/>
        <v>5083</v>
      </c>
      <c r="G15" s="358">
        <f t="shared" si="1"/>
        <v>1694.3333333333333</v>
      </c>
      <c r="H15" s="356">
        <f t="shared" si="2"/>
        <v>1694.3333333333333</v>
      </c>
      <c r="I15" s="359">
        <v>14</v>
      </c>
      <c r="J15" s="359">
        <v>10</v>
      </c>
      <c r="K15" s="356">
        <f t="shared" si="3"/>
        <v>14</v>
      </c>
      <c r="L15" s="360">
        <f t="shared" si="4"/>
        <v>10</v>
      </c>
    </row>
    <row r="16" spans="1:12">
      <c r="A16" s="361" t="s">
        <v>366</v>
      </c>
      <c r="B16" s="362">
        <v>1</v>
      </c>
      <c r="C16" s="1">
        <v>827</v>
      </c>
      <c r="D16" s="1">
        <v>559</v>
      </c>
      <c r="E16" s="1">
        <v>419</v>
      </c>
      <c r="F16" s="362">
        <f t="shared" si="0"/>
        <v>1805</v>
      </c>
      <c r="G16" s="362">
        <f t="shared" si="1"/>
        <v>601.66666666666663</v>
      </c>
      <c r="H16" s="362">
        <f t="shared" si="2"/>
        <v>601.66666666666663</v>
      </c>
      <c r="I16" s="363">
        <v>8</v>
      </c>
      <c r="J16" s="363">
        <v>5</v>
      </c>
      <c r="K16" s="362">
        <f t="shared" si="3"/>
        <v>8</v>
      </c>
      <c r="L16" s="364">
        <f t="shared" si="4"/>
        <v>5</v>
      </c>
    </row>
    <row r="17" spans="1:12">
      <c r="A17" s="365" t="s">
        <v>367</v>
      </c>
      <c r="B17" s="366">
        <v>1</v>
      </c>
      <c r="C17" s="357">
        <v>1309</v>
      </c>
      <c r="D17" s="357">
        <v>884</v>
      </c>
      <c r="E17" s="357">
        <v>1115</v>
      </c>
      <c r="F17" s="366">
        <f t="shared" si="0"/>
        <v>3308</v>
      </c>
      <c r="G17" s="367">
        <f t="shared" si="1"/>
        <v>1102.6666666666667</v>
      </c>
      <c r="H17" s="366">
        <f t="shared" si="2"/>
        <v>1102.6666666666667</v>
      </c>
      <c r="I17" s="368">
        <v>12</v>
      </c>
      <c r="J17" s="368">
        <v>9</v>
      </c>
      <c r="K17" s="366">
        <f t="shared" si="3"/>
        <v>12</v>
      </c>
      <c r="L17" s="369">
        <f t="shared" si="4"/>
        <v>9</v>
      </c>
    </row>
    <row r="18" spans="1:12">
      <c r="A18" s="370" t="s">
        <v>169</v>
      </c>
      <c r="B18" s="346">
        <f t="shared" ref="B18:H18" si="5">SUM(B10:B17)</f>
        <v>35</v>
      </c>
      <c r="C18" s="371">
        <f t="shared" si="5"/>
        <v>66593</v>
      </c>
      <c r="D18" s="370">
        <f t="shared" si="5"/>
        <v>52947</v>
      </c>
      <c r="E18" s="370">
        <f t="shared" si="5"/>
        <v>64823</v>
      </c>
      <c r="F18" s="346">
        <f t="shared" si="5"/>
        <v>184363</v>
      </c>
      <c r="G18" s="372">
        <f t="shared" si="5"/>
        <v>61454.333333333336</v>
      </c>
      <c r="H18" s="372">
        <f t="shared" si="5"/>
        <v>11697.103030303029</v>
      </c>
      <c r="I18" s="370"/>
      <c r="J18" s="370"/>
      <c r="K18" s="346">
        <f>SUM(K10:K17)</f>
        <v>474</v>
      </c>
      <c r="L18" s="346">
        <f>SUM(L10:L17)</f>
        <v>340</v>
      </c>
    </row>
    <row r="20" spans="1:12">
      <c r="A20" s="373" t="s">
        <v>368</v>
      </c>
      <c r="B20" s="23">
        <v>15</v>
      </c>
      <c r="C20" s="23">
        <f>17555</f>
        <v>17555</v>
      </c>
      <c r="D20" s="23">
        <f>16961</f>
        <v>16961</v>
      </c>
      <c r="E20" s="23">
        <f>19682</f>
        <v>19682</v>
      </c>
      <c r="F20" s="23">
        <f>C20+D20+E20</f>
        <v>54198</v>
      </c>
      <c r="G20" s="374">
        <f>F20/3</f>
        <v>18066</v>
      </c>
      <c r="H20" s="23">
        <f>G20/15</f>
        <v>1204.4000000000001</v>
      </c>
      <c r="I20" s="23">
        <v>12</v>
      </c>
      <c r="J20" s="23">
        <v>10</v>
      </c>
      <c r="K20" s="23">
        <f>I20*17</f>
        <v>204</v>
      </c>
      <c r="L20" s="23">
        <f>J20*17</f>
        <v>170</v>
      </c>
    </row>
    <row r="22" spans="1:12">
      <c r="A22" s="480" t="s">
        <v>369</v>
      </c>
      <c r="B22" s="480"/>
      <c r="C22" s="480"/>
      <c r="D22" s="480"/>
      <c r="E22" s="480"/>
      <c r="F22" s="480"/>
      <c r="G22" s="480"/>
      <c r="H22" s="480"/>
      <c r="I22" s="480"/>
      <c r="J22" s="480"/>
      <c r="K22" s="375">
        <f>K18+K20</f>
        <v>678</v>
      </c>
      <c r="L22" s="375">
        <f>L18+L20</f>
        <v>510</v>
      </c>
    </row>
    <row r="24" spans="1:12">
      <c r="A24" s="452" t="s">
        <v>370</v>
      </c>
      <c r="B24" s="452"/>
      <c r="C24" s="452"/>
      <c r="D24" s="452"/>
      <c r="E24" s="452"/>
      <c r="F24" s="452"/>
      <c r="G24" s="452"/>
      <c r="H24" s="452"/>
      <c r="I24" s="452"/>
      <c r="J24" s="452"/>
      <c r="K24" s="23">
        <v>1115</v>
      </c>
      <c r="L24" s="23">
        <f>ROUNDUP(1115*0.7,0)</f>
        <v>781</v>
      </c>
    </row>
    <row r="25" spans="1:1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52" t="s">
        <v>371</v>
      </c>
      <c r="B26" s="452"/>
      <c r="C26" s="452"/>
      <c r="D26" s="452"/>
      <c r="E26" s="452"/>
      <c r="F26" s="452"/>
      <c r="G26" s="452"/>
      <c r="H26" s="452"/>
      <c r="I26" s="452"/>
      <c r="J26" s="452" t="s">
        <v>372</v>
      </c>
      <c r="K26" s="239">
        <f>K24-K22</f>
        <v>437</v>
      </c>
      <c r="L26" s="239">
        <f>L24-L22</f>
        <v>271</v>
      </c>
    </row>
    <row r="27" spans="1: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idden="1">
      <c r="A28" s="45"/>
      <c r="B28" s="23" t="s">
        <v>373</v>
      </c>
      <c r="C28" s="23" t="s">
        <v>374</v>
      </c>
      <c r="D28" s="23" t="s">
        <v>375</v>
      </c>
      <c r="E28" s="23" t="s">
        <v>376</v>
      </c>
      <c r="F28" s="23" t="s">
        <v>377</v>
      </c>
      <c r="G28" s="45"/>
      <c r="H28" s="45"/>
      <c r="I28" s="45"/>
      <c r="J28" s="45"/>
      <c r="K28" s="45"/>
      <c r="L28" s="45"/>
    </row>
    <row r="29" spans="1:12" ht="12.75" hidden="1" customHeight="1">
      <c r="A29" s="481" t="s">
        <v>239</v>
      </c>
      <c r="B29" s="346" t="s">
        <v>12</v>
      </c>
      <c r="C29" s="346" t="s">
        <v>378</v>
      </c>
      <c r="D29" s="346" t="s">
        <v>379</v>
      </c>
      <c r="E29" s="346" t="s">
        <v>378</v>
      </c>
      <c r="F29" s="346" t="s">
        <v>379</v>
      </c>
      <c r="G29" s="482" t="s">
        <v>354</v>
      </c>
      <c r="H29" s="482" t="s">
        <v>380</v>
      </c>
      <c r="K29" s="145"/>
      <c r="L29" s="145"/>
    </row>
    <row r="30" spans="1:12" hidden="1">
      <c r="A30" s="481"/>
      <c r="B30" s="347" t="s">
        <v>201</v>
      </c>
      <c r="C30" s="347" t="s">
        <v>224</v>
      </c>
      <c r="D30" s="347" t="s">
        <v>201</v>
      </c>
      <c r="E30" s="347" t="s">
        <v>381</v>
      </c>
      <c r="F30" s="347" t="s">
        <v>201</v>
      </c>
      <c r="G30" s="482"/>
      <c r="H30" s="482"/>
      <c r="J30" s="263"/>
      <c r="K30" s="145"/>
      <c r="L30" s="145"/>
    </row>
    <row r="31" spans="1:12" hidden="1">
      <c r="A31" s="350" t="s">
        <v>360</v>
      </c>
      <c r="B31" s="351">
        <v>10</v>
      </c>
      <c r="C31" s="351">
        <v>2</v>
      </c>
      <c r="D31" s="351">
        <f t="shared" ref="D31:D38" si="6">+B31-C31</f>
        <v>8</v>
      </c>
      <c r="E31" s="351">
        <v>1</v>
      </c>
      <c r="F31" s="351">
        <f t="shared" ref="F31:F38" si="7">+D31+E31</f>
        <v>9</v>
      </c>
      <c r="G31" s="351">
        <v>22</v>
      </c>
      <c r="H31" s="351">
        <f t="shared" ref="H31:H38" si="8">+F31*G31</f>
        <v>198</v>
      </c>
      <c r="K31" s="145"/>
      <c r="L31" s="145"/>
    </row>
    <row r="32" spans="1:12" hidden="1">
      <c r="A32" s="355" t="s">
        <v>361</v>
      </c>
      <c r="B32" s="356">
        <v>9</v>
      </c>
      <c r="C32" s="356">
        <v>2</v>
      </c>
      <c r="D32" s="356">
        <f t="shared" si="6"/>
        <v>7</v>
      </c>
      <c r="E32" s="356">
        <v>1</v>
      </c>
      <c r="F32" s="356">
        <f t="shared" si="7"/>
        <v>8</v>
      </c>
      <c r="G32" s="356">
        <v>5</v>
      </c>
      <c r="H32" s="356">
        <f t="shared" si="8"/>
        <v>40</v>
      </c>
    </row>
    <row r="33" spans="1:12" hidden="1">
      <c r="A33" s="361" t="s">
        <v>362</v>
      </c>
      <c r="B33" s="362">
        <v>9</v>
      </c>
      <c r="C33" s="362">
        <v>2</v>
      </c>
      <c r="D33" s="362">
        <f t="shared" si="6"/>
        <v>7</v>
      </c>
      <c r="E33" s="362">
        <v>1</v>
      </c>
      <c r="F33" s="362">
        <f t="shared" si="7"/>
        <v>8</v>
      </c>
      <c r="G33" s="362">
        <v>1</v>
      </c>
      <c r="H33" s="362">
        <f t="shared" si="8"/>
        <v>8</v>
      </c>
    </row>
    <row r="34" spans="1:12" hidden="1">
      <c r="A34" s="355" t="s">
        <v>363</v>
      </c>
      <c r="B34" s="356">
        <v>10</v>
      </c>
      <c r="C34" s="356">
        <v>2</v>
      </c>
      <c r="D34" s="356">
        <f t="shared" si="6"/>
        <v>8</v>
      </c>
      <c r="E34" s="356">
        <v>2</v>
      </c>
      <c r="F34" s="356">
        <f t="shared" si="7"/>
        <v>10</v>
      </c>
      <c r="G34" s="356">
        <v>2</v>
      </c>
      <c r="H34" s="356">
        <f t="shared" si="8"/>
        <v>20</v>
      </c>
    </row>
    <row r="35" spans="1:12" hidden="1">
      <c r="A35" s="361" t="s">
        <v>364</v>
      </c>
      <c r="B35" s="362">
        <v>11</v>
      </c>
      <c r="C35" s="362">
        <v>2</v>
      </c>
      <c r="D35" s="362">
        <f t="shared" si="6"/>
        <v>9</v>
      </c>
      <c r="E35" s="362">
        <v>2</v>
      </c>
      <c r="F35" s="362">
        <f t="shared" si="7"/>
        <v>11</v>
      </c>
      <c r="G35" s="362">
        <v>2</v>
      </c>
      <c r="H35" s="362">
        <f t="shared" si="8"/>
        <v>22</v>
      </c>
    </row>
    <row r="36" spans="1:12" hidden="1">
      <c r="A36" s="355" t="s">
        <v>365</v>
      </c>
      <c r="B36" s="356">
        <v>10</v>
      </c>
      <c r="C36" s="356">
        <v>2</v>
      </c>
      <c r="D36" s="356">
        <f t="shared" si="6"/>
        <v>8</v>
      </c>
      <c r="E36" s="356">
        <v>2</v>
      </c>
      <c r="F36" s="356">
        <f t="shared" si="7"/>
        <v>10</v>
      </c>
      <c r="G36" s="356">
        <v>1</v>
      </c>
      <c r="H36" s="356">
        <f t="shared" si="8"/>
        <v>10</v>
      </c>
    </row>
    <row r="37" spans="1:12" hidden="1">
      <c r="A37" s="361" t="s">
        <v>366</v>
      </c>
      <c r="B37" s="362">
        <v>5</v>
      </c>
      <c r="C37" s="362">
        <v>1</v>
      </c>
      <c r="D37" s="362">
        <f t="shared" si="6"/>
        <v>4</v>
      </c>
      <c r="E37" s="362">
        <v>1</v>
      </c>
      <c r="F37" s="362">
        <f t="shared" si="7"/>
        <v>5</v>
      </c>
      <c r="G37" s="362">
        <v>1</v>
      </c>
      <c r="H37" s="362">
        <f t="shared" si="8"/>
        <v>5</v>
      </c>
    </row>
    <row r="38" spans="1:12" hidden="1">
      <c r="A38" s="365" t="s">
        <v>367</v>
      </c>
      <c r="B38" s="366">
        <v>9</v>
      </c>
      <c r="C38" s="366">
        <v>2</v>
      </c>
      <c r="D38" s="366">
        <f t="shared" si="6"/>
        <v>7</v>
      </c>
      <c r="E38" s="366">
        <v>2</v>
      </c>
      <c r="F38" s="366">
        <f t="shared" si="7"/>
        <v>9</v>
      </c>
      <c r="G38" s="366">
        <v>1</v>
      </c>
      <c r="H38" s="366">
        <f t="shared" si="8"/>
        <v>9</v>
      </c>
    </row>
    <row r="39" spans="1:12" hidden="1">
      <c r="A39" s="370" t="s">
        <v>169</v>
      </c>
      <c r="B39" s="370"/>
      <c r="C39" s="370"/>
      <c r="D39" s="370"/>
      <c r="E39" s="370"/>
      <c r="F39" s="370"/>
      <c r="G39" s="346">
        <f>SUM(G31:G38)</f>
        <v>35</v>
      </c>
      <c r="H39" s="346">
        <f>SUM(H31:H38)</f>
        <v>312</v>
      </c>
    </row>
    <row r="40" spans="1:12">
      <c r="J40" s="149"/>
      <c r="K40" s="126"/>
      <c r="L40" s="237" t="s">
        <v>106</v>
      </c>
    </row>
  </sheetData>
  <sheetProtection selectLockedCells="1" selectUnlockedCells="1"/>
  <mergeCells count="13">
    <mergeCell ref="A2:L2"/>
    <mergeCell ref="A4:L4"/>
    <mergeCell ref="A5:L5"/>
    <mergeCell ref="A6:L6"/>
    <mergeCell ref="A8:A9"/>
    <mergeCell ref="B8:H8"/>
    <mergeCell ref="K8:L8"/>
    <mergeCell ref="A22:J22"/>
    <mergeCell ref="A24:J24"/>
    <mergeCell ref="A26:J26"/>
    <mergeCell ref="A29:A30"/>
    <mergeCell ref="G29:G30"/>
    <mergeCell ref="H29:H30"/>
  </mergeCells>
  <pageMargins left="0.51180555555555551" right="0.51180555555555551" top="0.78749999999999998" bottom="0.78749999999999998" header="0.51180555555555551" footer="0.51180555555555551"/>
  <pageSetup paperSize="9" scale="87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0"/>
  <sheetViews>
    <sheetView view="pageBreakPreview" topLeftCell="A31" zoomScaleSheetLayoutView="100" workbookViewId="0">
      <selection activeCell="F52" sqref="F52"/>
    </sheetView>
  </sheetViews>
  <sheetFormatPr defaultColWidth="9.42578125" defaultRowHeight="15"/>
  <cols>
    <col min="1" max="1" width="81.140625" style="1" customWidth="1"/>
    <col min="2" max="2" width="12.85546875" style="1" customWidth="1"/>
    <col min="3" max="3" width="14.140625" style="1" customWidth="1"/>
    <col min="4" max="4" width="3.7109375" style="1" customWidth="1"/>
    <col min="5" max="5" width="18.140625" style="1" customWidth="1"/>
    <col min="6" max="6" width="14" style="1" customWidth="1"/>
    <col min="7" max="7" width="14.140625" style="1" customWidth="1"/>
    <col min="8" max="9" width="9.42578125" style="1"/>
    <col min="10" max="10" width="13.5703125" style="1" customWidth="1"/>
    <col min="11" max="16384" width="9.42578125" style="1"/>
  </cols>
  <sheetData>
    <row r="1" spans="1:7" ht="21">
      <c r="A1" s="2" t="s">
        <v>0</v>
      </c>
    </row>
    <row r="2" spans="1:7" ht="21">
      <c r="A2" s="2"/>
    </row>
    <row r="3" spans="1:7" ht="21">
      <c r="A3" s="376"/>
      <c r="G3" s="256"/>
    </row>
    <row r="4" spans="1:7" ht="21">
      <c r="A4" s="488" t="s">
        <v>382</v>
      </c>
      <c r="B4" s="488"/>
      <c r="C4" s="488"/>
      <c r="D4" s="488"/>
      <c r="E4" s="488"/>
      <c r="F4" s="488"/>
      <c r="G4" s="488"/>
    </row>
    <row r="5" spans="1:7" ht="21">
      <c r="A5" s="376"/>
    </row>
    <row r="6" spans="1:7" ht="45.75" customHeight="1">
      <c r="A6" s="489" t="s">
        <v>383</v>
      </c>
      <c r="B6" s="489"/>
      <c r="C6" s="489"/>
      <c r="D6" s="489"/>
      <c r="E6" s="489"/>
      <c r="F6" s="489"/>
      <c r="G6" s="489"/>
    </row>
    <row r="8" spans="1:7">
      <c r="A8" s="486" t="s">
        <v>384</v>
      </c>
      <c r="B8" s="486" t="s">
        <v>248</v>
      </c>
      <c r="C8" s="486"/>
      <c r="E8" s="377" t="s">
        <v>385</v>
      </c>
    </row>
    <row r="9" spans="1:7">
      <c r="A9" s="486"/>
      <c r="B9" s="486"/>
      <c r="C9" s="486"/>
      <c r="E9" s="378" t="s">
        <v>386</v>
      </c>
    </row>
    <row r="10" spans="1:7">
      <c r="A10" s="486"/>
      <c r="B10" s="433" t="s">
        <v>7</v>
      </c>
      <c r="C10" s="433"/>
      <c r="E10" s="379" t="s">
        <v>387</v>
      </c>
    </row>
    <row r="12" spans="1:7">
      <c r="A12" s="380" t="s">
        <v>128</v>
      </c>
      <c r="B12" s="381" t="s">
        <v>45</v>
      </c>
      <c r="C12" s="382">
        <v>2</v>
      </c>
      <c r="D12" s="357"/>
      <c r="E12" s="382">
        <v>2</v>
      </c>
      <c r="F12" s="383">
        <v>1567.95</v>
      </c>
      <c r="G12" s="384">
        <f t="shared" ref="G12:G24" si="0">E12*F12</f>
        <v>3135.9</v>
      </c>
    </row>
    <row r="13" spans="1:7">
      <c r="A13" s="385" t="s">
        <v>129</v>
      </c>
      <c r="B13" s="87" t="s">
        <v>45</v>
      </c>
      <c r="C13" s="110">
        <v>1</v>
      </c>
      <c r="E13" s="110">
        <v>1</v>
      </c>
      <c r="F13" s="386">
        <f>1567.95</f>
        <v>1567.95</v>
      </c>
      <c r="G13" s="387">
        <f t="shared" si="0"/>
        <v>1567.95</v>
      </c>
    </row>
    <row r="14" spans="1:7">
      <c r="A14" s="380" t="s">
        <v>134</v>
      </c>
      <c r="B14" s="381" t="s">
        <v>45</v>
      </c>
      <c r="C14" s="382">
        <v>2</v>
      </c>
      <c r="D14" s="388"/>
      <c r="E14" s="382">
        <v>2</v>
      </c>
      <c r="F14" s="383">
        <v>1567.95</v>
      </c>
      <c r="G14" s="384">
        <f t="shared" si="0"/>
        <v>3135.9</v>
      </c>
    </row>
    <row r="15" spans="1:7">
      <c r="A15" s="385" t="s">
        <v>136</v>
      </c>
      <c r="B15" s="23" t="s">
        <v>45</v>
      </c>
      <c r="C15" s="104">
        <v>3</v>
      </c>
      <c r="D15" s="105"/>
      <c r="E15" s="110">
        <v>3</v>
      </c>
      <c r="F15" s="386">
        <f>1567.95</f>
        <v>1567.95</v>
      </c>
      <c r="G15" s="387">
        <f t="shared" si="0"/>
        <v>4703.8500000000004</v>
      </c>
    </row>
    <row r="16" spans="1:7">
      <c r="A16" s="380" t="s">
        <v>137</v>
      </c>
      <c r="B16" s="381" t="s">
        <v>45</v>
      </c>
      <c r="C16" s="382">
        <v>3</v>
      </c>
      <c r="D16" s="388"/>
      <c r="E16" s="382">
        <v>3</v>
      </c>
      <c r="F16" s="383">
        <v>1567.95</v>
      </c>
      <c r="G16" s="384">
        <f t="shared" si="0"/>
        <v>4703.8500000000004</v>
      </c>
    </row>
    <row r="17" spans="1:7">
      <c r="A17" s="385" t="s">
        <v>138</v>
      </c>
      <c r="B17" s="23" t="s">
        <v>45</v>
      </c>
      <c r="C17" s="104">
        <v>3</v>
      </c>
      <c r="D17" s="105"/>
      <c r="E17" s="110">
        <v>3</v>
      </c>
      <c r="F17" s="386">
        <f>1567.95</f>
        <v>1567.95</v>
      </c>
      <c r="G17" s="387">
        <f t="shared" si="0"/>
        <v>4703.8500000000004</v>
      </c>
    </row>
    <row r="18" spans="1:7" ht="14.85" customHeight="1">
      <c r="A18" s="389" t="s">
        <v>139</v>
      </c>
      <c r="B18" s="381" t="s">
        <v>45</v>
      </c>
      <c r="C18" s="382">
        <v>3</v>
      </c>
      <c r="D18" s="357"/>
      <c r="E18" s="382">
        <v>3</v>
      </c>
      <c r="F18" s="383">
        <v>1567.95</v>
      </c>
      <c r="G18" s="384">
        <f t="shared" si="0"/>
        <v>4703.8500000000004</v>
      </c>
    </row>
    <row r="19" spans="1:7" ht="30">
      <c r="A19" s="390" t="s">
        <v>143</v>
      </c>
      <c r="B19" s="23" t="s">
        <v>45</v>
      </c>
      <c r="C19" s="104">
        <v>9</v>
      </c>
      <c r="E19" s="110">
        <v>9</v>
      </c>
      <c r="F19" s="386">
        <f>1567.95</f>
        <v>1567.95</v>
      </c>
      <c r="G19" s="387">
        <f t="shared" si="0"/>
        <v>14111.550000000001</v>
      </c>
    </row>
    <row r="20" spans="1:7">
      <c r="A20" s="391" t="s">
        <v>144</v>
      </c>
      <c r="B20" s="381" t="s">
        <v>45</v>
      </c>
      <c r="C20" s="382">
        <v>1</v>
      </c>
      <c r="D20" s="357"/>
      <c r="E20" s="382">
        <v>1</v>
      </c>
      <c r="F20" s="383">
        <v>1567.95</v>
      </c>
      <c r="G20" s="384">
        <f t="shared" si="0"/>
        <v>1567.95</v>
      </c>
    </row>
    <row r="21" spans="1:7" ht="30">
      <c r="A21" s="392" t="s">
        <v>146</v>
      </c>
      <c r="B21" s="23" t="s">
        <v>45</v>
      </c>
      <c r="C21" s="104">
        <v>13</v>
      </c>
      <c r="E21" s="110">
        <v>13</v>
      </c>
      <c r="F21" s="386">
        <f>1567.95</f>
        <v>1567.95</v>
      </c>
      <c r="G21" s="387">
        <f t="shared" si="0"/>
        <v>20383.350000000002</v>
      </c>
    </row>
    <row r="22" spans="1:7" ht="30">
      <c r="A22" s="393" t="s">
        <v>271</v>
      </c>
      <c r="B22" s="381" t="s">
        <v>45</v>
      </c>
      <c r="C22" s="382">
        <v>1</v>
      </c>
      <c r="D22" s="357"/>
      <c r="E22" s="382">
        <v>1</v>
      </c>
      <c r="F22" s="383">
        <v>1567.95</v>
      </c>
      <c r="G22" s="384">
        <f t="shared" si="0"/>
        <v>1567.95</v>
      </c>
    </row>
    <row r="23" spans="1:7" ht="30">
      <c r="A23" s="390" t="s">
        <v>388</v>
      </c>
      <c r="B23" s="23" t="s">
        <v>45</v>
      </c>
      <c r="C23" s="104">
        <v>1</v>
      </c>
      <c r="E23" s="110">
        <v>1</v>
      </c>
      <c r="F23" s="386">
        <f>1567.95</f>
        <v>1567.95</v>
      </c>
      <c r="G23" s="387">
        <f t="shared" si="0"/>
        <v>1567.95</v>
      </c>
    </row>
    <row r="24" spans="1:7" ht="30">
      <c r="A24" s="380" t="s">
        <v>274</v>
      </c>
      <c r="B24" s="394" t="s">
        <v>45</v>
      </c>
      <c r="C24" s="382">
        <v>1</v>
      </c>
      <c r="D24" s="357"/>
      <c r="E24" s="382">
        <v>1</v>
      </c>
      <c r="F24" s="395">
        <v>1567.95</v>
      </c>
      <c r="G24" s="384">
        <f t="shared" si="0"/>
        <v>1567.95</v>
      </c>
    </row>
    <row r="25" spans="1:7">
      <c r="A25" s="396"/>
    </row>
    <row r="26" spans="1:7" ht="15" customHeight="1">
      <c r="A26" s="487" t="s">
        <v>389</v>
      </c>
      <c r="B26" s="487"/>
      <c r="C26" s="398">
        <f>SUM(C12:C24)</f>
        <v>43</v>
      </c>
      <c r="D26" s="397"/>
      <c r="E26" s="399">
        <f>SUM(E12:E24)</f>
        <v>43</v>
      </c>
      <c r="G26" s="148">
        <f>SUM(G12:G24)</f>
        <v>67421.849999999991</v>
      </c>
    </row>
    <row r="27" spans="1:7">
      <c r="E27" s="145"/>
    </row>
    <row r="28" spans="1:7">
      <c r="A28" s="486" t="s">
        <v>3</v>
      </c>
      <c r="B28" s="486" t="s">
        <v>248</v>
      </c>
      <c r="C28" s="486"/>
      <c r="E28" s="377" t="s">
        <v>385</v>
      </c>
    </row>
    <row r="29" spans="1:7">
      <c r="A29" s="486"/>
      <c r="B29" s="486"/>
      <c r="C29" s="486"/>
      <c r="E29" s="378" t="s">
        <v>386</v>
      </c>
    </row>
    <row r="30" spans="1:7">
      <c r="A30" s="486"/>
      <c r="B30" s="433" t="s">
        <v>7</v>
      </c>
      <c r="C30" s="433"/>
      <c r="E30" s="379" t="s">
        <v>387</v>
      </c>
    </row>
    <row r="31" spans="1:7">
      <c r="A31" s="380" t="s">
        <v>390</v>
      </c>
      <c r="B31" s="381" t="s">
        <v>45</v>
      </c>
      <c r="C31" s="382">
        <v>2</v>
      </c>
      <c r="D31" s="357"/>
      <c r="E31" s="382">
        <v>2</v>
      </c>
      <c r="F31" s="383">
        <v>1567.95</v>
      </c>
      <c r="G31" s="384">
        <f>E31*F31</f>
        <v>3135.9</v>
      </c>
    </row>
    <row r="32" spans="1:7">
      <c r="A32" s="385" t="s">
        <v>391</v>
      </c>
      <c r="B32" s="87" t="s">
        <v>45</v>
      </c>
      <c r="C32" s="110">
        <v>1</v>
      </c>
      <c r="E32" s="110">
        <v>1</v>
      </c>
      <c r="F32" s="386">
        <f>1567.95</f>
        <v>1567.95</v>
      </c>
      <c r="G32" s="387">
        <f>F32*E32</f>
        <v>1567.95</v>
      </c>
    </row>
    <row r="33" spans="1:10">
      <c r="A33" s="380" t="s">
        <v>392</v>
      </c>
      <c r="B33" s="381" t="s">
        <v>45</v>
      </c>
      <c r="C33" s="382">
        <v>2</v>
      </c>
      <c r="D33" s="357"/>
      <c r="E33" s="382">
        <v>2</v>
      </c>
      <c r="F33" s="383">
        <v>1567.95</v>
      </c>
      <c r="G33" s="384">
        <f>E33*F33</f>
        <v>3135.9</v>
      </c>
    </row>
    <row r="34" spans="1:10">
      <c r="A34" s="385" t="s">
        <v>393</v>
      </c>
      <c r="B34" s="87" t="s">
        <v>45</v>
      </c>
      <c r="C34" s="110">
        <v>2</v>
      </c>
      <c r="E34" s="110">
        <v>0</v>
      </c>
      <c r="F34" s="386">
        <f>1567.95</f>
        <v>1567.95</v>
      </c>
      <c r="G34" s="387">
        <f>F34*E34</f>
        <v>0</v>
      </c>
    </row>
    <row r="35" spans="1:10">
      <c r="A35" s="380" t="s">
        <v>394</v>
      </c>
      <c r="B35" s="381" t="s">
        <v>45</v>
      </c>
      <c r="C35" s="382">
        <v>1</v>
      </c>
      <c r="D35" s="357"/>
      <c r="E35" s="382">
        <v>1</v>
      </c>
      <c r="F35" s="383">
        <v>1567.95</v>
      </c>
      <c r="G35" s="384">
        <f>E35*F35</f>
        <v>1567.95</v>
      </c>
    </row>
    <row r="36" spans="1:10">
      <c r="A36" s="385" t="s">
        <v>395</v>
      </c>
      <c r="B36" s="87" t="s">
        <v>45</v>
      </c>
      <c r="C36" s="110">
        <v>1</v>
      </c>
      <c r="E36" s="110">
        <v>1</v>
      </c>
      <c r="F36" s="386">
        <f>1567.95</f>
        <v>1567.95</v>
      </c>
      <c r="G36" s="387">
        <f>F36*E36</f>
        <v>1567.95</v>
      </c>
    </row>
    <row r="37" spans="1:10">
      <c r="A37" s="380" t="s">
        <v>396</v>
      </c>
      <c r="B37" s="381" t="s">
        <v>45</v>
      </c>
      <c r="C37" s="382">
        <v>3</v>
      </c>
      <c r="D37" s="357"/>
      <c r="E37" s="382">
        <v>3</v>
      </c>
      <c r="F37" s="383">
        <v>1567.95</v>
      </c>
      <c r="G37" s="384">
        <f>E37*F37</f>
        <v>4703.8500000000004</v>
      </c>
    </row>
    <row r="38" spans="1:10">
      <c r="A38" s="385" t="s">
        <v>397</v>
      </c>
      <c r="B38" s="87" t="s">
        <v>45</v>
      </c>
      <c r="C38" s="110">
        <v>1</v>
      </c>
      <c r="E38" s="110">
        <v>1</v>
      </c>
      <c r="F38" s="386">
        <f>1567.95</f>
        <v>1567.95</v>
      </c>
      <c r="G38" s="387">
        <f>F38*E38</f>
        <v>1567.95</v>
      </c>
    </row>
    <row r="39" spans="1:10">
      <c r="A39" s="380" t="s">
        <v>398</v>
      </c>
      <c r="B39" s="381" t="s">
        <v>45</v>
      </c>
      <c r="C39" s="382">
        <v>1</v>
      </c>
      <c r="D39" s="357"/>
      <c r="E39" s="382">
        <v>1</v>
      </c>
      <c r="F39" s="383">
        <v>1567.95</v>
      </c>
      <c r="G39" s="384">
        <f>E39*F39</f>
        <v>1567.95</v>
      </c>
    </row>
    <row r="40" spans="1:10">
      <c r="A40" s="385" t="s">
        <v>399</v>
      </c>
      <c r="B40" s="87" t="s">
        <v>45</v>
      </c>
      <c r="C40" s="110">
        <v>1</v>
      </c>
      <c r="E40" s="110">
        <v>1</v>
      </c>
      <c r="F40" s="386">
        <f>1567.95</f>
        <v>1567.95</v>
      </c>
      <c r="G40" s="387">
        <f>F40*E40</f>
        <v>1567.95</v>
      </c>
    </row>
    <row r="41" spans="1:10">
      <c r="A41" s="380" t="s">
        <v>400</v>
      </c>
      <c r="B41" s="381" t="s">
        <v>45</v>
      </c>
      <c r="C41" s="382">
        <v>3</v>
      </c>
      <c r="D41" s="357"/>
      <c r="E41" s="382">
        <v>3</v>
      </c>
      <c r="F41" s="383">
        <v>1567.95</v>
      </c>
      <c r="G41" s="384">
        <f>E41*F41</f>
        <v>4703.8500000000004</v>
      </c>
    </row>
    <row r="42" spans="1:10">
      <c r="A42" s="385" t="s">
        <v>401</v>
      </c>
      <c r="B42" s="87" t="s">
        <v>45</v>
      </c>
      <c r="C42" s="110">
        <v>2</v>
      </c>
      <c r="E42" s="110">
        <v>2</v>
      </c>
      <c r="F42" s="386">
        <f>1567.95</f>
        <v>1567.95</v>
      </c>
      <c r="G42" s="387">
        <f>F42*E42</f>
        <v>3135.9</v>
      </c>
    </row>
    <row r="43" spans="1:10">
      <c r="A43" s="380" t="s">
        <v>402</v>
      </c>
      <c r="B43" s="381" t="s">
        <v>45</v>
      </c>
      <c r="C43" s="382">
        <v>1</v>
      </c>
      <c r="D43" s="357"/>
      <c r="E43" s="382">
        <v>1</v>
      </c>
      <c r="F43" s="383">
        <v>1567.95</v>
      </c>
      <c r="G43" s="384">
        <f>E43*F43</f>
        <v>1567.95</v>
      </c>
    </row>
    <row r="44" spans="1:10">
      <c r="A44" s="385" t="s">
        <v>97</v>
      </c>
      <c r="B44" s="87" t="s">
        <v>45</v>
      </c>
      <c r="C44" s="110">
        <v>3</v>
      </c>
      <c r="E44" s="110">
        <v>3</v>
      </c>
      <c r="F44" s="386">
        <f>1567.95</f>
        <v>1567.95</v>
      </c>
      <c r="G44" s="387">
        <f>F44*E44</f>
        <v>4703.8500000000004</v>
      </c>
    </row>
    <row r="45" spans="1:10" ht="15" customHeight="1">
      <c r="A45" s="487" t="s">
        <v>403</v>
      </c>
      <c r="B45" s="487"/>
      <c r="C45" s="398">
        <f>SUM(C31:C44)</f>
        <v>24</v>
      </c>
      <c r="D45" s="397"/>
      <c r="E45" s="399">
        <f>SUM(E31:E44)</f>
        <v>22</v>
      </c>
      <c r="F45" s="124"/>
      <c r="G45" s="148">
        <f>SUM(G31:G44)</f>
        <v>34494.900000000009</v>
      </c>
    </row>
    <row r="46" spans="1:10">
      <c r="A46" s="400"/>
      <c r="B46" s="400"/>
      <c r="C46" s="401"/>
      <c r="D46" s="400"/>
      <c r="G46" s="262"/>
    </row>
    <row r="47" spans="1:10" ht="15" customHeight="1">
      <c r="A47" s="487" t="s">
        <v>404</v>
      </c>
      <c r="B47" s="487"/>
      <c r="C47" s="398">
        <f>+C26+C45</f>
        <v>67</v>
      </c>
      <c r="D47" s="397"/>
      <c r="E47" s="398">
        <f>+E26+E45</f>
        <v>65</v>
      </c>
      <c r="F47" s="124"/>
      <c r="G47" s="148">
        <f>+G26+G45</f>
        <v>101916.75</v>
      </c>
    </row>
    <row r="48" spans="1:10">
      <c r="J48" s="191"/>
    </row>
    <row r="49" spans="1:10">
      <c r="A49" s="243" t="s">
        <v>405</v>
      </c>
      <c r="B49" s="239" t="s">
        <v>45</v>
      </c>
      <c r="C49" s="402">
        <v>1567.95</v>
      </c>
      <c r="E49" s="240">
        <f>43+22</f>
        <v>65</v>
      </c>
      <c r="F49" s="403">
        <f>C49*E49</f>
        <v>101916.75</v>
      </c>
      <c r="J49" s="191"/>
    </row>
    <row r="50" spans="1:10">
      <c r="A50" s="485" t="s">
        <v>406</v>
      </c>
      <c r="B50" s="485"/>
      <c r="C50" s="485"/>
      <c r="E50" s="240">
        <f>SUM(E49:E49)</f>
        <v>65</v>
      </c>
      <c r="F50" s="404">
        <f>SUM(F49:F49)</f>
        <v>101916.75</v>
      </c>
      <c r="J50" s="191"/>
    </row>
    <row r="51" spans="1:10">
      <c r="A51" s="243" t="s">
        <v>407</v>
      </c>
      <c r="B51" s="239"/>
      <c r="C51" s="402"/>
      <c r="E51" s="240"/>
      <c r="F51" s="403">
        <f>301623.59+191.12</f>
        <v>301814.71000000002</v>
      </c>
      <c r="J51" s="191"/>
    </row>
    <row r="52" spans="1:10">
      <c r="A52" s="485" t="s">
        <v>408</v>
      </c>
      <c r="B52" s="485"/>
      <c r="C52" s="485"/>
      <c r="F52" s="404">
        <f>F51-F50</f>
        <v>199897.96000000002</v>
      </c>
      <c r="J52" s="191"/>
    </row>
    <row r="53" spans="1:10">
      <c r="A53" s="243" t="s">
        <v>409</v>
      </c>
      <c r="B53" s="239" t="s">
        <v>45</v>
      </c>
      <c r="C53" s="402">
        <v>1567.95</v>
      </c>
      <c r="E53" s="240">
        <v>66</v>
      </c>
      <c r="F53" s="403">
        <f>C53*E53</f>
        <v>103484.7</v>
      </c>
    </row>
    <row r="54" spans="1:10">
      <c r="A54" s="243" t="s">
        <v>410</v>
      </c>
      <c r="B54" s="239" t="s">
        <v>45</v>
      </c>
      <c r="C54" s="402">
        <v>1567.95</v>
      </c>
      <c r="E54" s="240">
        <v>61</v>
      </c>
      <c r="F54" s="403">
        <f>C54*E54</f>
        <v>95644.95</v>
      </c>
    </row>
    <row r="55" spans="1:10">
      <c r="A55" s="485" t="s">
        <v>411</v>
      </c>
      <c r="B55" s="485"/>
      <c r="C55" s="485"/>
      <c r="F55" s="404">
        <f>+F52-F53-F54</f>
        <v>768.31000000002678</v>
      </c>
      <c r="J55" s="55"/>
    </row>
    <row r="56" spans="1:10">
      <c r="E56" s="240">
        <f>+E50+E53+E54</f>
        <v>192</v>
      </c>
    </row>
    <row r="57" spans="1:10">
      <c r="E57" s="405"/>
    </row>
    <row r="58" spans="1:10">
      <c r="B58" s="152"/>
      <c r="E58" s="406"/>
    </row>
    <row r="59" spans="1:10" ht="15.75">
      <c r="E59" s="236"/>
      <c r="F59" s="126"/>
      <c r="G59" s="407" t="s">
        <v>412</v>
      </c>
    </row>
    <row r="60" spans="1:10">
      <c r="J60" s="191"/>
    </row>
  </sheetData>
  <sheetProtection selectLockedCells="1" selectUnlockedCells="1"/>
  <mergeCells count="14">
    <mergeCell ref="A26:B26"/>
    <mergeCell ref="A4:G4"/>
    <mergeCell ref="A6:G6"/>
    <mergeCell ref="A8:A10"/>
    <mergeCell ref="B8:C9"/>
    <mergeCell ref="B10:C10"/>
    <mergeCell ref="A52:C52"/>
    <mergeCell ref="A55:C55"/>
    <mergeCell ref="A28:A30"/>
    <mergeCell ref="B28:C29"/>
    <mergeCell ref="B30:C30"/>
    <mergeCell ref="A45:B45"/>
    <mergeCell ref="A47:B47"/>
    <mergeCell ref="A50:C50"/>
  </mergeCells>
  <printOptions horizontalCentered="1" verticalCentered="1"/>
  <pageMargins left="0.51180555555555551" right="0.51180555555555551" top="0.39374999999999999" bottom="0.39374999999999999" header="0.51180555555555551" footer="0.51180555555555551"/>
  <pageSetup paperSize="9" scale="64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topLeftCell="A19" zoomScaleSheetLayoutView="100" workbookViewId="0">
      <selection activeCell="A2" sqref="A2"/>
    </sheetView>
  </sheetViews>
  <sheetFormatPr defaultColWidth="9.42578125" defaultRowHeight="15"/>
  <cols>
    <col min="1" max="1" width="43.42578125" style="1" customWidth="1"/>
    <col min="2" max="2" width="16" style="1" customWidth="1"/>
    <col min="3" max="3" width="14.140625" style="1" customWidth="1"/>
    <col min="4" max="4" width="9.42578125" style="1"/>
    <col min="5" max="5" width="16.5703125" style="1" customWidth="1"/>
    <col min="6" max="6" width="17.7109375" style="1" customWidth="1"/>
    <col min="7" max="7" width="14.85546875" style="1" customWidth="1"/>
    <col min="8" max="8" width="14.140625" style="1" customWidth="1"/>
    <col min="9" max="16384" width="9.42578125" style="1"/>
  </cols>
  <sheetData>
    <row r="1" spans="1:8" ht="21">
      <c r="A1" s="2" t="s">
        <v>0</v>
      </c>
    </row>
    <row r="2" spans="1:8" ht="21">
      <c r="A2" s="2"/>
    </row>
    <row r="3" spans="1:8" ht="21">
      <c r="A3" s="2"/>
    </row>
    <row r="4" spans="1:8" ht="21">
      <c r="A4" s="488" t="s">
        <v>413</v>
      </c>
      <c r="B4" s="488"/>
      <c r="C4" s="488"/>
      <c r="D4" s="488"/>
      <c r="E4" s="488"/>
      <c r="F4" s="488"/>
      <c r="G4" s="488"/>
      <c r="H4" s="488"/>
    </row>
    <row r="6" spans="1:8">
      <c r="A6" s="492" t="s">
        <v>414</v>
      </c>
      <c r="B6" s="492"/>
      <c r="C6" s="492"/>
      <c r="D6" s="492"/>
      <c r="E6" s="492"/>
      <c r="F6" s="492"/>
    </row>
    <row r="8" spans="1:8">
      <c r="A8" s="491" t="s">
        <v>345</v>
      </c>
      <c r="B8" s="438" t="s">
        <v>4</v>
      </c>
      <c r="C8" s="438"/>
      <c r="D8" s="234"/>
      <c r="E8" s="438" t="s">
        <v>415</v>
      </c>
      <c r="F8" s="438"/>
    </row>
    <row r="9" spans="1:8">
      <c r="A9" s="491"/>
      <c r="B9" s="232" t="s">
        <v>12</v>
      </c>
      <c r="C9" s="232" t="s">
        <v>416</v>
      </c>
      <c r="D9" s="408"/>
      <c r="E9" s="232" t="s">
        <v>12</v>
      </c>
      <c r="F9" s="232" t="s">
        <v>416</v>
      </c>
    </row>
    <row r="10" spans="1:8">
      <c r="A10" s="124" t="s">
        <v>417</v>
      </c>
      <c r="B10" s="23">
        <v>170</v>
      </c>
      <c r="C10" s="159">
        <f>B10/B14</f>
        <v>0.17819706498951782</v>
      </c>
      <c r="D10" s="4"/>
      <c r="E10" s="23">
        <v>170</v>
      </c>
      <c r="F10" s="159">
        <f>E10/E14</f>
        <v>0.2176696542893726</v>
      </c>
    </row>
    <row r="11" spans="1:8">
      <c r="A11" s="124" t="s">
        <v>239</v>
      </c>
      <c r="B11" s="23">
        <f>416+29</f>
        <v>445</v>
      </c>
      <c r="C11" s="159">
        <f>B11/B14</f>
        <v>0.46645702306079667</v>
      </c>
      <c r="D11" s="4"/>
      <c r="E11" s="23">
        <v>340</v>
      </c>
      <c r="F11" s="159">
        <f>E11/E14</f>
        <v>0.4353393085787452</v>
      </c>
    </row>
    <row r="12" spans="1:8">
      <c r="A12" s="124" t="s">
        <v>241</v>
      </c>
      <c r="B12" s="23">
        <v>195</v>
      </c>
      <c r="C12" s="159">
        <f>B12/B14</f>
        <v>0.20440251572327045</v>
      </c>
      <c r="D12" s="4"/>
      <c r="E12" s="23">
        <v>171</v>
      </c>
      <c r="F12" s="159">
        <f>E12/E14</f>
        <v>0.21895006402048656</v>
      </c>
    </row>
    <row r="13" spans="1:8">
      <c r="A13" s="124" t="s">
        <v>242</v>
      </c>
      <c r="B13" s="23">
        <f>173-29</f>
        <v>144</v>
      </c>
      <c r="C13" s="159">
        <f>B13/B14</f>
        <v>0.15094339622641509</v>
      </c>
      <c r="D13" s="4"/>
      <c r="E13" s="23">
        <v>100</v>
      </c>
      <c r="F13" s="159">
        <f>E13/E14</f>
        <v>0.12804097311139565</v>
      </c>
    </row>
    <row r="14" spans="1:8">
      <c r="A14" s="124" t="s">
        <v>169</v>
      </c>
      <c r="B14" s="23">
        <f>SUM(B10:B13)</f>
        <v>954</v>
      </c>
      <c r="C14" s="159">
        <f>B14/B14</f>
        <v>1</v>
      </c>
      <c r="D14" s="4"/>
      <c r="E14" s="23">
        <f>SUM(E10:E13)</f>
        <v>781</v>
      </c>
      <c r="F14" s="159">
        <f>E14/E14</f>
        <v>1</v>
      </c>
    </row>
    <row r="16" spans="1:8">
      <c r="A16" s="492" t="s">
        <v>418</v>
      </c>
      <c r="B16" s="492"/>
      <c r="C16" s="492"/>
      <c r="D16" s="492"/>
      <c r="E16" s="492"/>
      <c r="F16" s="492"/>
      <c r="G16" s="492"/>
      <c r="H16" s="492"/>
    </row>
    <row r="18" spans="1:8">
      <c r="A18" s="491" t="s">
        <v>345</v>
      </c>
      <c r="B18" s="491" t="s">
        <v>4</v>
      </c>
      <c r="C18" s="491"/>
      <c r="D18" s="4"/>
      <c r="E18" s="438" t="s">
        <v>415</v>
      </c>
      <c r="F18" s="438"/>
      <c r="G18" s="438"/>
      <c r="H18" s="438"/>
    </row>
    <row r="19" spans="1:8">
      <c r="A19" s="491"/>
      <c r="B19" s="491"/>
      <c r="C19" s="491"/>
      <c r="D19" s="4"/>
      <c r="E19" s="438" t="s">
        <v>12</v>
      </c>
      <c r="F19" s="438"/>
      <c r="G19" s="438"/>
      <c r="H19" s="491" t="s">
        <v>416</v>
      </c>
    </row>
    <row r="20" spans="1:8">
      <c r="A20" s="491"/>
      <c r="B20" s="232" t="s">
        <v>12</v>
      </c>
      <c r="C20" s="232" t="s">
        <v>416</v>
      </c>
      <c r="D20" s="63"/>
      <c r="E20" s="232" t="s">
        <v>419</v>
      </c>
      <c r="F20" s="232" t="s">
        <v>387</v>
      </c>
      <c r="G20" s="232" t="s">
        <v>169</v>
      </c>
      <c r="H20" s="491"/>
    </row>
    <row r="21" spans="1:8">
      <c r="A21" s="124" t="s">
        <v>417</v>
      </c>
      <c r="B21" s="23">
        <v>170</v>
      </c>
      <c r="C21" s="159">
        <f>B21/B25</f>
        <v>0.17819706498951782</v>
      </c>
      <c r="D21" s="4"/>
      <c r="E21" s="23">
        <v>170</v>
      </c>
      <c r="F21" s="23">
        <v>0</v>
      </c>
      <c r="G21" s="23">
        <f>+E21+F21</f>
        <v>170</v>
      </c>
      <c r="H21" s="159">
        <f>G21/G25</f>
        <v>0.18640350877192982</v>
      </c>
    </row>
    <row r="22" spans="1:8">
      <c r="A22" s="124" t="s">
        <v>239</v>
      </c>
      <c r="B22" s="23">
        <f>416+29</f>
        <v>445</v>
      </c>
      <c r="C22" s="159">
        <f>B22/B25</f>
        <v>0.46645702306079667</v>
      </c>
      <c r="D22" s="4"/>
      <c r="E22" s="23">
        <v>340</v>
      </c>
      <c r="F22" s="23">
        <v>66</v>
      </c>
      <c r="G22" s="23">
        <f t="shared" ref="G22:G24" si="0">+E22+F22</f>
        <v>406</v>
      </c>
      <c r="H22" s="159">
        <f>G22/G25</f>
        <v>0.44517543859649122</v>
      </c>
    </row>
    <row r="23" spans="1:8">
      <c r="A23" s="124" t="s">
        <v>241</v>
      </c>
      <c r="B23" s="23">
        <v>195</v>
      </c>
      <c r="C23" s="159">
        <f>B23/B25</f>
        <v>0.20440251572327045</v>
      </c>
      <c r="D23" s="4"/>
      <c r="E23" s="23">
        <v>171</v>
      </c>
      <c r="F23" s="23">
        <v>22</v>
      </c>
      <c r="G23" s="23">
        <f t="shared" si="0"/>
        <v>193</v>
      </c>
      <c r="H23" s="159">
        <f>G23/G25</f>
        <v>0.21162280701754385</v>
      </c>
    </row>
    <row r="24" spans="1:8">
      <c r="A24" s="124" t="s">
        <v>242</v>
      </c>
      <c r="B24" s="23">
        <f>173-29</f>
        <v>144</v>
      </c>
      <c r="C24" s="159">
        <f>B24/B25</f>
        <v>0.15094339622641509</v>
      </c>
      <c r="D24" s="4"/>
      <c r="E24" s="23">
        <v>100</v>
      </c>
      <c r="F24" s="23">
        <v>43</v>
      </c>
      <c r="G24" s="23">
        <f t="shared" si="0"/>
        <v>143</v>
      </c>
      <c r="H24" s="159">
        <f>G24/G25</f>
        <v>0.15679824561403508</v>
      </c>
    </row>
    <row r="25" spans="1:8">
      <c r="A25" s="124" t="s">
        <v>169</v>
      </c>
      <c r="B25" s="23">
        <f>SUM(B21:B24)</f>
        <v>954</v>
      </c>
      <c r="C25" s="159">
        <f>B25/B25</f>
        <v>1</v>
      </c>
      <c r="D25" s="4"/>
      <c r="E25" s="23">
        <f>SUM(E21:E24)</f>
        <v>781</v>
      </c>
      <c r="F25" s="23">
        <f>SUM(F21:F24)</f>
        <v>131</v>
      </c>
      <c r="G25" s="23">
        <f>SUM(G21:G24)</f>
        <v>912</v>
      </c>
      <c r="H25" s="159">
        <f>E25/E25</f>
        <v>1</v>
      </c>
    </row>
    <row r="27" spans="1:8">
      <c r="A27" s="492" t="s">
        <v>420</v>
      </c>
      <c r="B27" s="492"/>
      <c r="C27" s="492"/>
      <c r="D27" s="492"/>
      <c r="E27" s="492"/>
      <c r="F27" s="492"/>
      <c r="G27" s="492"/>
      <c r="H27" s="492"/>
    </row>
    <row r="28" spans="1:8">
      <c r="A28" s="409"/>
      <c r="B28" s="409"/>
      <c r="C28" s="409"/>
      <c r="D28" s="409"/>
      <c r="E28" s="409"/>
      <c r="F28" s="409"/>
      <c r="G28" s="409"/>
      <c r="H28" s="409"/>
    </row>
    <row r="29" spans="1:8">
      <c r="A29" s="491" t="s">
        <v>345</v>
      </c>
      <c r="B29" s="491" t="s">
        <v>4</v>
      </c>
      <c r="C29" s="491"/>
      <c r="D29" s="4"/>
      <c r="E29" s="438" t="s">
        <v>415</v>
      </c>
      <c r="F29" s="438"/>
      <c r="G29" s="438"/>
      <c r="H29" s="438"/>
    </row>
    <row r="30" spans="1:8">
      <c r="A30" s="491"/>
      <c r="B30" s="491"/>
      <c r="C30" s="491"/>
      <c r="D30" s="4"/>
      <c r="E30" s="438" t="s">
        <v>12</v>
      </c>
      <c r="F30" s="438"/>
      <c r="G30" s="438"/>
      <c r="H30" s="491" t="s">
        <v>416</v>
      </c>
    </row>
    <row r="31" spans="1:8">
      <c r="A31" s="491"/>
      <c r="B31" s="232" t="s">
        <v>12</v>
      </c>
      <c r="C31" s="232" t="s">
        <v>416</v>
      </c>
      <c r="D31" s="63"/>
      <c r="E31" s="232" t="s">
        <v>419</v>
      </c>
      <c r="F31" s="232" t="s">
        <v>421</v>
      </c>
      <c r="G31" s="232" t="s">
        <v>169</v>
      </c>
      <c r="H31" s="491"/>
    </row>
    <row r="32" spans="1:8">
      <c r="A32" s="124" t="s">
        <v>417</v>
      </c>
      <c r="B32" s="23">
        <v>170</v>
      </c>
      <c r="C32" s="159">
        <f>B32/B36</f>
        <v>0.17819706498951782</v>
      </c>
      <c r="D32" s="4"/>
      <c r="E32" s="23">
        <v>170</v>
      </c>
      <c r="F32" s="23">
        <v>0</v>
      </c>
      <c r="G32" s="23">
        <f>+E32+F32</f>
        <v>170</v>
      </c>
      <c r="H32" s="159">
        <f>G32/G36</f>
        <v>0.17932489451476794</v>
      </c>
    </row>
    <row r="33" spans="1:8">
      <c r="A33" s="124" t="s">
        <v>239</v>
      </c>
      <c r="B33" s="23">
        <f>416+29</f>
        <v>445</v>
      </c>
      <c r="C33" s="159">
        <f>B33/B36</f>
        <v>0.46645702306079667</v>
      </c>
      <c r="D33" s="4"/>
      <c r="E33" s="23">
        <f>340-25</f>
        <v>315</v>
      </c>
      <c r="F33" s="23">
        <f>66+61</f>
        <v>127</v>
      </c>
      <c r="G33" s="23">
        <f t="shared" ref="G33:G35" si="1">+E33+F33</f>
        <v>442</v>
      </c>
      <c r="H33" s="159">
        <f>G33/G36</f>
        <v>0.46624472573839665</v>
      </c>
    </row>
    <row r="34" spans="1:8">
      <c r="A34" s="124" t="s">
        <v>241</v>
      </c>
      <c r="B34" s="23">
        <v>195</v>
      </c>
      <c r="C34" s="159">
        <f>B34/B36</f>
        <v>0.20440251572327045</v>
      </c>
      <c r="D34" s="4"/>
      <c r="E34" s="23">
        <v>171</v>
      </c>
      <c r="F34" s="23">
        <v>22</v>
      </c>
      <c r="G34" s="23">
        <f t="shared" si="1"/>
        <v>193</v>
      </c>
      <c r="H34" s="159">
        <f>G34/G36</f>
        <v>0.20358649789029537</v>
      </c>
    </row>
    <row r="35" spans="1:8">
      <c r="A35" s="124" t="s">
        <v>242</v>
      </c>
      <c r="B35" s="23">
        <f>173-29</f>
        <v>144</v>
      </c>
      <c r="C35" s="159">
        <f>B35/B36</f>
        <v>0.15094339622641509</v>
      </c>
      <c r="D35" s="4"/>
      <c r="E35" s="23">
        <v>100</v>
      </c>
      <c r="F35" s="23">
        <v>43</v>
      </c>
      <c r="G35" s="23">
        <f t="shared" si="1"/>
        <v>143</v>
      </c>
      <c r="H35" s="159">
        <f>G35/G36</f>
        <v>0.15084388185654007</v>
      </c>
    </row>
    <row r="36" spans="1:8">
      <c r="A36" s="124" t="s">
        <v>169</v>
      </c>
      <c r="B36" s="23">
        <f>SUM(B32:B35)</f>
        <v>954</v>
      </c>
      <c r="C36" s="159">
        <f>B36/B36</f>
        <v>1</v>
      </c>
      <c r="D36" s="4"/>
      <c r="E36" s="23">
        <f>SUM(E32:E35)</f>
        <v>756</v>
      </c>
      <c r="F36" s="23">
        <f>SUM(F32:F35)</f>
        <v>192</v>
      </c>
      <c r="G36" s="23">
        <f>SUM(G32:G35)</f>
        <v>948</v>
      </c>
      <c r="H36" s="159">
        <f>E36/E36</f>
        <v>1</v>
      </c>
    </row>
    <row r="37" spans="1:8">
      <c r="A37" s="409"/>
      <c r="B37" s="409"/>
      <c r="C37" s="409"/>
      <c r="D37" s="409"/>
      <c r="E37" s="409"/>
      <c r="F37" s="409"/>
      <c r="G37" s="409"/>
      <c r="H37" s="409"/>
    </row>
    <row r="38" spans="1:8" ht="14.1" customHeight="1">
      <c r="A38" s="492" t="s">
        <v>422</v>
      </c>
      <c r="B38" s="492"/>
      <c r="C38" s="492"/>
      <c r="D38" s="409"/>
      <c r="E38" s="493" t="s">
        <v>423</v>
      </c>
      <c r="F38" s="493"/>
      <c r="G38" s="493"/>
      <c r="H38" s="493"/>
    </row>
    <row r="39" spans="1:8">
      <c r="E39" s="493"/>
      <c r="F39" s="493"/>
      <c r="G39" s="493"/>
      <c r="H39" s="493"/>
    </row>
    <row r="40" spans="1:8">
      <c r="E40" s="410"/>
      <c r="F40" s="410"/>
      <c r="G40" s="410"/>
      <c r="H40" s="410"/>
    </row>
    <row r="41" spans="1:8">
      <c r="A41" s="232" t="s">
        <v>345</v>
      </c>
      <c r="B41" s="232" t="s">
        <v>387</v>
      </c>
      <c r="C41" s="232" t="s">
        <v>416</v>
      </c>
      <c r="E41" s="438" t="s">
        <v>345</v>
      </c>
      <c r="F41" s="438"/>
      <c r="G41" s="232" t="s">
        <v>424</v>
      </c>
      <c r="H41" s="232" t="s">
        <v>416</v>
      </c>
    </row>
    <row r="42" spans="1:8">
      <c r="A42" s="124" t="s">
        <v>417</v>
      </c>
      <c r="B42" s="23">
        <v>0</v>
      </c>
      <c r="C42" s="159">
        <f>B42/B46</f>
        <v>0</v>
      </c>
      <c r="E42" s="452" t="s">
        <v>417</v>
      </c>
      <c r="F42" s="452"/>
      <c r="G42" s="23">
        <v>0</v>
      </c>
      <c r="H42" s="159">
        <f>G42/G46</f>
        <v>0</v>
      </c>
    </row>
    <row r="43" spans="1:8">
      <c r="A43" s="124" t="s">
        <v>239</v>
      </c>
      <c r="B43" s="23">
        <v>66</v>
      </c>
      <c r="C43" s="159">
        <f>B43/B46</f>
        <v>0.50381679389312972</v>
      </c>
      <c r="E43" s="452" t="s">
        <v>239</v>
      </c>
      <c r="F43" s="452"/>
      <c r="G43" s="23">
        <f>66+61</f>
        <v>127</v>
      </c>
      <c r="H43" s="159">
        <f>G43/G46</f>
        <v>0.66145833333333337</v>
      </c>
    </row>
    <row r="44" spans="1:8">
      <c r="A44" s="124" t="s">
        <v>241</v>
      </c>
      <c r="B44" s="23">
        <v>22</v>
      </c>
      <c r="C44" s="159">
        <f>B44/B46</f>
        <v>0.16793893129770993</v>
      </c>
      <c r="E44" s="452" t="s">
        <v>241</v>
      </c>
      <c r="F44" s="452"/>
      <c r="G44" s="23">
        <v>22</v>
      </c>
      <c r="H44" s="159">
        <f>G44/G46</f>
        <v>0.11458333333333333</v>
      </c>
    </row>
    <row r="45" spans="1:8">
      <c r="A45" s="124" t="s">
        <v>242</v>
      </c>
      <c r="B45" s="23">
        <v>43</v>
      </c>
      <c r="C45" s="159">
        <f>B45/B46</f>
        <v>0.3282442748091603</v>
      </c>
      <c r="E45" s="452" t="s">
        <v>242</v>
      </c>
      <c r="F45" s="452"/>
      <c r="G45" s="23">
        <v>43</v>
      </c>
      <c r="H45" s="159">
        <f>G45/G46</f>
        <v>0.22395833333333334</v>
      </c>
    </row>
    <row r="46" spans="1:8">
      <c r="A46" s="124" t="s">
        <v>169</v>
      </c>
      <c r="B46" s="23">
        <f>SUM(B42:B45)</f>
        <v>131</v>
      </c>
      <c r="C46" s="159">
        <f>B46/B46</f>
        <v>1</v>
      </c>
      <c r="E46" s="452" t="s">
        <v>169</v>
      </c>
      <c r="F46" s="452"/>
      <c r="G46" s="23">
        <f>SUM(G42:G45)</f>
        <v>192</v>
      </c>
      <c r="H46" s="159">
        <f>G46/G46</f>
        <v>1</v>
      </c>
    </row>
    <row r="49" spans="5:8">
      <c r="E49" s="490" t="s">
        <v>425</v>
      </c>
      <c r="F49" s="490"/>
      <c r="G49" s="490"/>
      <c r="H49" s="490"/>
    </row>
  </sheetData>
  <sheetProtection selectLockedCells="1" selectUnlockedCells="1"/>
  <mergeCells count="26">
    <mergeCell ref="A16:H16"/>
    <mergeCell ref="A4:H4"/>
    <mergeCell ref="A6:F6"/>
    <mergeCell ref="A8:A9"/>
    <mergeCell ref="B8:C8"/>
    <mergeCell ref="E8:F8"/>
    <mergeCell ref="A38:C38"/>
    <mergeCell ref="E38:H39"/>
    <mergeCell ref="A18:A20"/>
    <mergeCell ref="B18:C19"/>
    <mergeCell ref="E18:H18"/>
    <mergeCell ref="E19:G19"/>
    <mergeCell ref="H19:H20"/>
    <mergeCell ref="A27:H27"/>
    <mergeCell ref="A29:A31"/>
    <mergeCell ref="B29:C30"/>
    <mergeCell ref="E29:H29"/>
    <mergeCell ref="E30:G30"/>
    <mergeCell ref="H30:H31"/>
    <mergeCell ref="E49:H49"/>
    <mergeCell ref="E41:F41"/>
    <mergeCell ref="E42:F42"/>
    <mergeCell ref="E43:F43"/>
    <mergeCell ref="E44:F44"/>
    <mergeCell ref="E45:F45"/>
    <mergeCell ref="E46:F46"/>
  </mergeCells>
  <printOptions horizontalCentered="1" verticalCentered="1"/>
  <pageMargins left="0.51180555555555551" right="0.51180555555555551" top="0.78749999999999998" bottom="0.39374999999999999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9"/>
  <sheetViews>
    <sheetView view="pageBreakPreview" zoomScaleSheetLayoutView="100" workbookViewId="0"/>
  </sheetViews>
  <sheetFormatPr defaultColWidth="9.42578125" defaultRowHeight="15"/>
  <cols>
    <col min="1" max="1" width="39" style="1" customWidth="1"/>
    <col min="2" max="2" width="19.5703125" style="1" customWidth="1"/>
    <col min="3" max="3" width="14.140625" style="1" customWidth="1"/>
    <col min="4" max="4" width="18.140625" style="1" customWidth="1"/>
    <col min="5" max="5" width="18.28515625" style="1" customWidth="1"/>
    <col min="6" max="6" width="21.42578125" style="1" customWidth="1"/>
    <col min="7" max="7" width="4.42578125" style="1" customWidth="1"/>
    <col min="8" max="8" width="19" style="1" customWidth="1"/>
    <col min="9" max="9" width="9.5703125" style="1" customWidth="1"/>
    <col min="10" max="10" width="12" style="1" customWidth="1"/>
    <col min="11" max="11" width="15.42578125" style="1" customWidth="1"/>
    <col min="12" max="12" width="4" style="1" customWidth="1"/>
    <col min="13" max="13" width="9.42578125" style="1"/>
    <col min="14" max="14" width="9.7109375" style="1" customWidth="1"/>
    <col min="15" max="16384" width="9.42578125" style="1"/>
  </cols>
  <sheetData>
    <row r="1" spans="1:6" ht="21" customHeight="1">
      <c r="A1" s="494" t="s">
        <v>0</v>
      </c>
      <c r="B1" s="494"/>
      <c r="C1" s="494"/>
      <c r="D1" s="494"/>
      <c r="E1" s="494"/>
      <c r="F1" s="494"/>
    </row>
    <row r="2" spans="1:6" ht="21" customHeight="1">
      <c r="A2" s="495"/>
      <c r="B2" s="495"/>
      <c r="C2" s="495"/>
      <c r="D2" s="495"/>
      <c r="E2" s="495"/>
      <c r="F2" s="495"/>
    </row>
    <row r="3" spans="1:6" ht="21">
      <c r="A3" s="2"/>
      <c r="B3" s="2"/>
      <c r="C3" s="2"/>
    </row>
    <row r="4" spans="1:6" ht="21">
      <c r="A4" s="428" t="s">
        <v>426</v>
      </c>
      <c r="B4" s="428"/>
      <c r="C4" s="428"/>
      <c r="D4" s="428"/>
      <c r="E4" s="428"/>
      <c r="F4" s="428"/>
    </row>
    <row r="6" spans="1:6" ht="21">
      <c r="A6" s="428" t="s">
        <v>427</v>
      </c>
      <c r="B6" s="428"/>
      <c r="C6" s="428"/>
      <c r="D6" s="428"/>
      <c r="E6" s="428"/>
      <c r="F6" s="428"/>
    </row>
    <row r="9" spans="1:6" ht="21">
      <c r="A9" s="428" t="s">
        <v>428</v>
      </c>
      <c r="B9" s="428"/>
      <c r="C9" s="428"/>
      <c r="D9" s="428"/>
      <c r="E9" s="428"/>
      <c r="F9" s="428"/>
    </row>
    <row r="11" spans="1:6">
      <c r="A11" s="433" t="s">
        <v>8</v>
      </c>
      <c r="B11" s="433"/>
      <c r="C11" s="433"/>
      <c r="D11" s="433"/>
      <c r="E11" s="433"/>
      <c r="F11" s="433"/>
    </row>
    <row r="12" spans="1:6">
      <c r="A12" s="164" t="s">
        <v>185</v>
      </c>
      <c r="B12" s="164" t="s">
        <v>429</v>
      </c>
      <c r="C12" s="164" t="s">
        <v>430</v>
      </c>
      <c r="D12" s="164" t="s">
        <v>431</v>
      </c>
      <c r="E12" s="164" t="s">
        <v>13</v>
      </c>
      <c r="F12" s="164" t="s">
        <v>14</v>
      </c>
    </row>
    <row r="13" spans="1:6">
      <c r="A13" s="23" t="s">
        <v>28</v>
      </c>
      <c r="B13" s="34">
        <v>1</v>
      </c>
      <c r="C13" s="34">
        <v>0</v>
      </c>
      <c r="D13" s="34">
        <f>+B13-C13</f>
        <v>1</v>
      </c>
      <c r="E13" s="80">
        <v>10352.52</v>
      </c>
      <c r="F13" s="80">
        <f t="shared" ref="F13:F16" si="0">D13*E13</f>
        <v>10352.52</v>
      </c>
    </row>
    <row r="14" spans="1:6">
      <c r="A14" s="23" t="s">
        <v>34</v>
      </c>
      <c r="B14" s="34">
        <v>3</v>
      </c>
      <c r="C14" s="34">
        <v>0</v>
      </c>
      <c r="D14" s="34">
        <f t="shared" ref="D14:D16" si="1">+B14-C14</f>
        <v>3</v>
      </c>
      <c r="E14" s="80">
        <v>3434.43</v>
      </c>
      <c r="F14" s="80">
        <f t="shared" si="0"/>
        <v>10303.289999999999</v>
      </c>
    </row>
    <row r="15" spans="1:6">
      <c r="A15" s="23" t="s">
        <v>23</v>
      </c>
      <c r="B15" s="34">
        <v>4</v>
      </c>
      <c r="C15" s="34">
        <v>1</v>
      </c>
      <c r="D15" s="34">
        <f t="shared" si="1"/>
        <v>3</v>
      </c>
      <c r="E15" s="80">
        <v>2984.45</v>
      </c>
      <c r="F15" s="80">
        <f t="shared" si="0"/>
        <v>8953.3499999999985</v>
      </c>
    </row>
    <row r="16" spans="1:6">
      <c r="A16" s="23" t="s">
        <v>22</v>
      </c>
      <c r="B16" s="34">
        <v>2</v>
      </c>
      <c r="C16" s="34">
        <v>0</v>
      </c>
      <c r="D16" s="34">
        <f t="shared" si="1"/>
        <v>2</v>
      </c>
      <c r="E16" s="80">
        <v>1823.15</v>
      </c>
      <c r="F16" s="80">
        <f t="shared" si="0"/>
        <v>3646.3</v>
      </c>
    </row>
    <row r="17" spans="1:6">
      <c r="A17" s="239" t="s">
        <v>169</v>
      </c>
      <c r="B17" s="240">
        <f>SUM(B13:B16)</f>
        <v>10</v>
      </c>
      <c r="C17" s="240">
        <f>SUM(C13:C16)</f>
        <v>1</v>
      </c>
      <c r="D17" s="240">
        <f>SUM(D13:D16)</f>
        <v>9</v>
      </c>
      <c r="E17" s="241"/>
      <c r="F17" s="241">
        <f>SUM(F13:F16)</f>
        <v>33255.46</v>
      </c>
    </row>
    <row r="18" spans="1:6">
      <c r="A18" s="145"/>
      <c r="B18" s="145"/>
      <c r="C18" s="145"/>
      <c r="D18" s="139"/>
    </row>
    <row r="20" spans="1:6" ht="21">
      <c r="A20" s="428" t="s">
        <v>432</v>
      </c>
      <c r="B20" s="428"/>
      <c r="C20" s="428"/>
      <c r="D20" s="428"/>
      <c r="E20" s="428"/>
      <c r="F20" s="428"/>
    </row>
    <row r="22" spans="1:6">
      <c r="A22" s="433" t="s">
        <v>8</v>
      </c>
      <c r="B22" s="433"/>
      <c r="C22" s="433"/>
      <c r="D22" s="433"/>
      <c r="E22" s="433"/>
      <c r="F22" s="433"/>
    </row>
    <row r="23" spans="1:6">
      <c r="A23" s="238" t="s">
        <v>185</v>
      </c>
      <c r="B23" s="164" t="s">
        <v>429</v>
      </c>
      <c r="C23" s="164" t="s">
        <v>430</v>
      </c>
      <c r="D23" s="164" t="s">
        <v>431</v>
      </c>
      <c r="E23" s="164" t="s">
        <v>13</v>
      </c>
      <c r="F23" s="164" t="s">
        <v>14</v>
      </c>
    </row>
    <row r="24" spans="1:6">
      <c r="A24" s="23" t="s">
        <v>28</v>
      </c>
      <c r="B24" s="34">
        <v>1</v>
      </c>
      <c r="C24" s="34">
        <v>0</v>
      </c>
      <c r="D24" s="34">
        <f>+B24-C24</f>
        <v>1</v>
      </c>
      <c r="E24" s="80">
        <v>10352.52</v>
      </c>
      <c r="F24" s="80">
        <f t="shared" ref="F24:F27" si="2">D24*E24</f>
        <v>10352.52</v>
      </c>
    </row>
    <row r="25" spans="1:6">
      <c r="A25" s="23" t="s">
        <v>34</v>
      </c>
      <c r="B25" s="34">
        <v>3</v>
      </c>
      <c r="C25" s="34">
        <v>0</v>
      </c>
      <c r="D25" s="34">
        <f t="shared" ref="D25:D27" si="3">+B25-C25</f>
        <v>3</v>
      </c>
      <c r="E25" s="80">
        <v>3434.43</v>
      </c>
      <c r="F25" s="80">
        <f t="shared" si="2"/>
        <v>10303.289999999999</v>
      </c>
    </row>
    <row r="26" spans="1:6">
      <c r="A26" s="23" t="s">
        <v>23</v>
      </c>
      <c r="B26" s="34">
        <v>4</v>
      </c>
      <c r="C26" s="34">
        <v>1</v>
      </c>
      <c r="D26" s="34">
        <f t="shared" si="3"/>
        <v>3</v>
      </c>
      <c r="E26" s="80">
        <v>2984.45</v>
      </c>
      <c r="F26" s="80">
        <f t="shared" si="2"/>
        <v>8953.3499999999985</v>
      </c>
    </row>
    <row r="27" spans="1:6">
      <c r="A27" s="23" t="s">
        <v>22</v>
      </c>
      <c r="B27" s="34">
        <v>1</v>
      </c>
      <c r="C27" s="34">
        <v>0</v>
      </c>
      <c r="D27" s="34">
        <f t="shared" si="3"/>
        <v>1</v>
      </c>
      <c r="E27" s="80">
        <v>1823.15</v>
      </c>
      <c r="F27" s="80">
        <f t="shared" si="2"/>
        <v>1823.15</v>
      </c>
    </row>
    <row r="28" spans="1:6">
      <c r="A28" s="239" t="s">
        <v>169</v>
      </c>
      <c r="B28" s="240">
        <f>SUM(B24:B27)</f>
        <v>9</v>
      </c>
      <c r="C28" s="240">
        <f>SUM(C24:C27)</f>
        <v>1</v>
      </c>
      <c r="D28" s="240">
        <f>SUM(D24:D27)</f>
        <v>8</v>
      </c>
      <c r="E28" s="241"/>
      <c r="F28" s="241">
        <f>SUM(F24:F27)</f>
        <v>31432.309999999998</v>
      </c>
    </row>
    <row r="30" spans="1:6">
      <c r="A30" s="452" t="s">
        <v>433</v>
      </c>
      <c r="B30" s="452"/>
      <c r="C30" s="452"/>
      <c r="D30" s="452"/>
      <c r="E30" s="452"/>
      <c r="F30" s="124">
        <v>2</v>
      </c>
    </row>
    <row r="32" spans="1:6">
      <c r="A32" s="453" t="s">
        <v>190</v>
      </c>
      <c r="B32" s="453"/>
      <c r="C32" s="453"/>
      <c r="D32" s="453"/>
      <c r="E32" s="453"/>
      <c r="F32" s="241">
        <f>F28*F30</f>
        <v>62864.619999999995</v>
      </c>
    </row>
    <row r="34" spans="1:6" ht="15.75">
      <c r="A34" s="411" t="s">
        <v>434</v>
      </c>
      <c r="B34" s="126"/>
      <c r="C34" s="126"/>
      <c r="D34" s="126"/>
      <c r="E34" s="126"/>
      <c r="F34" s="412">
        <f>+F17+F32</f>
        <v>96120.079999999987</v>
      </c>
    </row>
    <row r="35" spans="1:6">
      <c r="A35" s="236" t="s">
        <v>435</v>
      </c>
      <c r="B35" s="126"/>
      <c r="C35" s="126"/>
      <c r="D35" s="126"/>
      <c r="E35" s="127"/>
      <c r="F35" s="413">
        <v>1567.95</v>
      </c>
    </row>
    <row r="36" spans="1:6">
      <c r="A36" s="236" t="s">
        <v>436</v>
      </c>
      <c r="B36" s="126"/>
      <c r="C36" s="126"/>
      <c r="D36" s="126"/>
      <c r="E36" s="127"/>
      <c r="F36" s="414">
        <f>+F34/F35</f>
        <v>61.303026244459318</v>
      </c>
    </row>
    <row r="37" spans="1:6" ht="15.75">
      <c r="A37" s="245"/>
      <c r="B37" s="245"/>
      <c r="C37" s="245"/>
      <c r="D37" s="245"/>
      <c r="E37" s="245"/>
      <c r="F37" s="245"/>
    </row>
    <row r="38" spans="1:6" ht="15.75">
      <c r="B38" s="245"/>
      <c r="C38" s="245"/>
      <c r="D38" s="247"/>
      <c r="E38" s="247"/>
      <c r="F38" s="247"/>
    </row>
    <row r="39" spans="1:6">
      <c r="A39" s="235" t="s">
        <v>437</v>
      </c>
    </row>
  </sheetData>
  <sheetProtection selectLockedCells="1" selectUnlockedCells="1"/>
  <mergeCells count="10">
    <mergeCell ref="A20:F20"/>
    <mergeCell ref="A22:F22"/>
    <mergeCell ref="A30:E30"/>
    <mergeCell ref="A32:E32"/>
    <mergeCell ref="A1:F1"/>
    <mergeCell ref="A2:F2"/>
    <mergeCell ref="A4:F4"/>
    <mergeCell ref="A6:F6"/>
    <mergeCell ref="A9:F9"/>
    <mergeCell ref="A11:F11"/>
  </mergeCells>
  <printOptions horizontalCentered="1" verticalCentered="1"/>
  <pageMargins left="0.39374999999999999" right="0.39374999999999999" top="0.59027777777777779" bottom="0.59027777777777779" header="0.51180555555555551" footer="0.51180555555555551"/>
  <pageSetup paperSize="9" scale="6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29</vt:i4>
      </vt:variant>
    </vt:vector>
  </HeadingPairs>
  <TitlesOfParts>
    <vt:vector size="39" baseType="lpstr">
      <vt:lpstr>A - ADM</vt:lpstr>
      <vt:lpstr>B - JUD</vt:lpstr>
      <vt:lpstr>C - DESEMB</vt:lpstr>
      <vt:lpstr>D - RA 63 E TRT MODERNO</vt:lpstr>
      <vt:lpstr>E - FC CJ EXCEDENTES</vt:lpstr>
      <vt:lpstr>F - LOT MAX SERV FC</vt:lpstr>
      <vt:lpstr>G - DISTRIBUIÇAO EXCEDENTE</vt:lpstr>
      <vt:lpstr>H - REPRESENTATIVIDADE</vt:lpstr>
      <vt:lpstr>I - NOVAS VT</vt:lpstr>
      <vt:lpstr>Plan1</vt:lpstr>
      <vt:lpstr>___xlnm.Print_Area_1</vt:lpstr>
      <vt:lpstr>___xlnm.Print_Area_2</vt:lpstr>
      <vt:lpstr>___xlnm.Print_Area_3</vt:lpstr>
      <vt:lpstr>___xlnm.Print_Area_4</vt:lpstr>
      <vt:lpstr>___xlnm.Print_Area_5</vt:lpstr>
      <vt:lpstr>___xlnm.Print_Area_7</vt:lpstr>
      <vt:lpstr>___xlnm.Print_Area_8</vt:lpstr>
      <vt:lpstr>___xlnm.Print_Area_9</vt:lpstr>
      <vt:lpstr>__xlnm.Print_Area</vt:lpstr>
      <vt:lpstr>__xlnm.Print_Area_1</vt:lpstr>
      <vt:lpstr>__xlnm.Print_Area_2</vt:lpstr>
      <vt:lpstr>__xlnm.Print_Area_3</vt:lpstr>
      <vt:lpstr>__xlnm.Print_Area_5</vt:lpstr>
      <vt:lpstr>__xlnm.Print_Area_7</vt:lpstr>
      <vt:lpstr>__xlnm.Print_Area_9</vt:lpstr>
      <vt:lpstr>'A - ADM'!Area_de_impressao</vt:lpstr>
      <vt:lpstr>'B - JUD'!Area_de_impressao</vt:lpstr>
      <vt:lpstr>'C - DESEMB'!Area_de_impressao</vt:lpstr>
      <vt:lpstr>'D - RA 63 E TRT MODERNO'!Area_de_impressao</vt:lpstr>
      <vt:lpstr>'E - FC CJ EXCEDENTES'!Area_de_impressao</vt:lpstr>
      <vt:lpstr>'G - DISTRIBUIÇAO EXCEDENTE'!Area_de_impressao</vt:lpstr>
      <vt:lpstr>'H - REPRESENTATIVIDADE'!Area_de_impressao</vt:lpstr>
      <vt:lpstr>'I - NOVAS VT'!Area_de_impressao</vt:lpstr>
      <vt:lpstr>Print_Area_1</vt:lpstr>
      <vt:lpstr>Print_Area_2</vt:lpstr>
      <vt:lpstr>Print_Area_3_1</vt:lpstr>
      <vt:lpstr>Print_Area_4_1</vt:lpstr>
      <vt:lpstr>Print_Area_5_1</vt:lpstr>
      <vt:lpstr>Print_Area_6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rafaelpaixao.jornalista</cp:lastModifiedBy>
  <dcterms:created xsi:type="dcterms:W3CDTF">2012-12-14T20:41:11Z</dcterms:created>
  <dcterms:modified xsi:type="dcterms:W3CDTF">2012-12-14T20:53:05Z</dcterms:modified>
</cp:coreProperties>
</file>